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'Anne-10'!$A$1:$P$30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'Anne-9'!$A$1:$R$25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<sst xmlns="http://schemas.openxmlformats.org/spreadsheetml/2006/main" count="757" uniqueCount="250">
  <si>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</si>
  <si>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</si>
  <si>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</si>
  <si>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</si>
  <si>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</si>
  <si>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</si>
  <si>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</si>
  <si>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</si>
  <si>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</si>
  <si>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</si>
  <si>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</si>
  <si>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</si>
  <si>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</si>
  <si>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</si>
  <si>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</si>
  <si>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</si>
  <si>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</si>
  <si>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</si>
  <si>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</si>
  <si>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</si>
  <si>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</si>
  <si>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</si>
  <si>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</si>
  <si>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</si>
  <si>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</si>
  <si>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</si>
  <si>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</si>
  <si>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</si>
  <si>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</si>
  <si>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</si>
  <si>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</si>
  <si>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</si>
  <si>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</si>
  <si>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</si>
  <si>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</si>
  <si>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</si>
  <si>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</si>
  <si>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</si>
  <si>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</si>
  <si>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</si>
  <si>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</si>
  <si>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</si>
  <si>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</si>
  <si>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</si>
  <si>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</si>
  <si>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</si>
  <si>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</si>
  <si>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</si>
  <si>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</si>
  <si>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</si>
  <si>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</si>
  <si>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</si>
  <si>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</si>
  <si>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</si>
  <si>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</si>
  <si>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</si>
  <si>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</si>
  <si>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</si>
  <si>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</si>
  <si>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</si>
  <si>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</si>
  <si>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</si>
  <si>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</si>
  <si>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</si>
  <si>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</si>
  <si>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</si>
  <si>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</si>
  <si>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</si>
  <si>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</si>
  <si>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</si>
  <si>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</si>
  <si>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</si>
  <si>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</si>
  <si>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</si>
  <si>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</si>
  <si>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</si>
  <si>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</si>
  <si>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</si>
  <si>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</si>
  <si>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</si>
  <si>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</si>
  <si>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</si>
  <si>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</si>
  <si>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</si>
  <si>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</si>
  <si>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</si>
  <si>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</si>
  <si>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</si>
  <si>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</si>
  <si>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</si>
  <si>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</si>
  <si>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</si>
  <si>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</si>
  <si>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</si>
  <si>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</si>
  <si>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</si>
  <si>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</si>
  <si>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</si>
  <si>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</si>
  <si>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</si>
  <si>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</si>
  <si>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</si>
  <si>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</si>
  <si>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</si>
  <si>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</si>
  <si>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</si>
  <si>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</si>
  <si>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</si>
  <si>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</si>
  <si>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</si>
  <si>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</si>
  <si>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</si>
  <si>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</si>
  <si>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</si>
  <si>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</si>
  <si>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</si>
  <si>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</si>
  <si>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</si>
  <si>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</si>
  <si>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</si>
  <si>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</si>
  <si>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</si>
  <si>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</si>
  <si>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</si>
  <si>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</si>
  <si>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</si>
  <si>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</si>
  <si>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</si>
  <si>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</si>
  <si>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</si>
  <si>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</si>
  <si>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</si>
  <si>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</si>
  <si>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</si>
  <si>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</si>
  <si>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</si>
  <si>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</si>
  <si>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</si>
  <si>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</si>
  <si>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</si>
  <si>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</si>
  <si>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</si>
  <si>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</si>
  <si>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</si>
  <si>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</si>
  <si>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</si>
  <si>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</si>
  <si>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</si>
  <si>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</si>
  <si>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</si>
  <si>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</si>
  <si>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</si>
  <si>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</si>
  <si>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</si>
  <si>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</si>
  <si>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</si>
  <si>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</si>
  <si>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</si>
  <si>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</si>
  <si>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</si>
  <si>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</si>
  <si>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</si>
  <si>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</si>
  <si>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</si>
  <si>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</si>
  <si>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</si>
  <si>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</si>
  <si>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</si>
  <si>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</si>
  <si>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</si>
  <si>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</si>
  <si>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</si>
  <si>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</si>
  <si>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</si>
  <si>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</si>
  <si>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</si>
  <si>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</si>
  <si>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</si>
  <si>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</si>
  <si>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30.04.2011</t>
  </si>
  <si>
    <t>Sub:- Growth in Telecom Sector during last Eleven years</t>
  </si>
  <si>
    <t>Connection</t>
  </si>
  <si>
    <t>Population (000)</t>
  </si>
  <si>
    <t>Teledensity</t>
  </si>
  <si>
    <t>31.03.2012</t>
  </si>
  <si>
    <t>30.04.2012</t>
  </si>
  <si>
    <t>Conn. As on 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</si>
  <si>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</si>
  <si>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</si>
  <si>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</si>
  <si>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</si>
  <si>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</si>
  <si>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</si>
  <si>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Addition during 2012-13</t>
  </si>
  <si>
    <t>31.12.2012</t>
  </si>
  <si>
    <t>Note: As per TRAI report, M/s Etisalat, S. Tel and Loop (Except for Mumbai Circle) have submitted that there are no active subscribers on their network hence their figures have been taken as Zero.</t>
  </si>
  <si>
    <t>#</t>
  </si>
  <si>
    <t>(1)  West Bengal Telecom Circle Licensing Area includes A &amp; N Circle</t>
  </si>
  <si>
    <t>Note: #</t>
  </si>
  <si>
    <t>Vodaphone</t>
  </si>
  <si>
    <t>Tata</t>
  </si>
  <si>
    <t>Quadrant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</si>
  <si>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</si>
  <si>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</si>
  <si>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</si>
  <si>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</si>
  <si>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</si>
  <si>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</si>
  <si>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</si>
  <si>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</si>
  <si>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</si>
  <si>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</si>
  <si>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</si>
  <si>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</si>
  <si>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</si>
  <si>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</si>
  <si>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</si>
  <si>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</si>
  <si>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</si>
  <si>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</si>
  <si>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</si>
  <si>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</si>
  <si>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</si>
  <si>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Sub:- Tele-density Circlewise urban Rural Area &amp; All operators as on 31/12/2012.</t>
  </si>
  <si>
    <t>Sub:- Total telephones connections operatorwise  &amp; Market Share as on 31.12.2012</t>
  </si>
  <si>
    <t>SUB: %age contribution of BSNL in Telephone connection Achievement during 2012-13 (upto 31.12.2012)</t>
  </si>
  <si>
    <t>Achievement during 2012-13 (upto 31.12.2012)</t>
  </si>
  <si>
    <t>Sub:- Total telephones Operator &amp; Circlewise as on 31/12/2012.</t>
  </si>
  <si>
    <t>Conn. As on 30.11.2012</t>
  </si>
  <si>
    <t>Addition during Dec 2012</t>
  </si>
  <si>
    <t>Sub:- Wireless telephones Cellular Operator &amp; circle wise as on 31/12/2012</t>
  </si>
  <si>
    <t>Sub:- GSM Mobile telephones Service Operator &amp; circle wise as on 31/12/2012</t>
  </si>
  <si>
    <t>Sub:- CDMA WLL telephones Service Operator &amp; Circle wise as on 31/12/2012</t>
  </si>
  <si>
    <t>Sub:- Wire line telephones Service Operator &amp; Circle wise as on 31/12/2012</t>
  </si>
  <si>
    <t>Sub: Proportion of VLR subscribers (Service Provider wise) as on 30.11.2012</t>
  </si>
  <si>
    <t>Population Dec. -2012 (in thousand)</t>
  </si>
  <si>
    <t>Population December -2012 (in thousand)</t>
  </si>
  <si>
    <t>Teledensity Circle wise for Urban, Rural areas and all operators as on 31.12.2012</t>
  </si>
  <si>
    <t>Total telephones operator wise and Market share as on 31.12.2012</t>
  </si>
  <si>
    <t>%age contribution of BSNL in Telephone connection Achievement during 2012-13 (upto 31.12.2012)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</si>
  <si>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31.12.2012</t>
    </r>
  </si>
  <si>
    <t>Wireless telephone connections operator wise and circle wise as on 31.12.2012</t>
  </si>
  <si>
    <t>Mobile telephone connections operator wise and circle wise as on 31.12.2012</t>
  </si>
  <si>
    <t>WLL telephone service operator wise and circle wise as on 31.12.2012</t>
  </si>
  <si>
    <t>Wireline telephone service operator wise and circle wise as on 31.12.2012</t>
  </si>
  <si>
    <t>Month wise telephone connection provided by BSNL &amp; All operators during 2011-12 and 2012-13 (upto December)</t>
  </si>
  <si>
    <t xml:space="preserve">Operator wise Proportion of VLR subscribers (Service Provider wise) as on 30.11.2012 </t>
  </si>
  <si>
    <t>Note:  *Vodafone Status is as on 30.11.2012</t>
  </si>
  <si>
    <t>Sub: Telephone connection Provided by BSNL &amp; All operators during 2011-12 and 2012-13 (upto 31.12.12)</t>
  </si>
  <si>
    <t>Dated: 31st January 2013.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</si>
</sst>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24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24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24" borderId="37" xfId="15" applyFont="1" applyFill="1" applyBorder="1" applyAlignment="1">
      <alignment horizontal="center"/>
      <protection/>
    </xf>
    <xf numFmtId="0" fontId="4" fillId="24" borderId="38" xfId="15" applyFont="1" applyFill="1" applyBorder="1">
      <alignment/>
      <protection/>
    </xf>
    <xf numFmtId="4" fontId="4" fillId="24" borderId="37" xfId="15" applyNumberFormat="1" applyFont="1" applyFill="1" applyBorder="1" applyAlignment="1">
      <alignment horizontal="center"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38" xfId="15" applyNumberFormat="1" applyFont="1" applyFill="1" applyBorder="1" applyAlignment="1">
      <alignment horizontal="center"/>
      <protection/>
    </xf>
    <xf numFmtId="2" fontId="4" fillId="24" borderId="37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38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12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24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24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24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4" fontId="4" fillId="0" borderId="42" xfId="0" applyNumberFormat="1" applyFont="1" applyBorder="1" applyAlignment="1">
      <alignment horizontal="center" vertical="center"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24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25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57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9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0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1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2" fontId="4" fillId="0" borderId="7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1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>
                <c:ptCount val="13"/>
                <c:pt idx="0">
                  <c:v>Idea</c:v>
                </c:pt>
                <c:pt idx="1">
                  <c:v>Vodaphone</c:v>
                </c:pt>
                <c:pt idx="2">
                  <c:v>Bharti Airtel</c:v>
                </c:pt>
                <c:pt idx="3">
                  <c:v>Reliance</c:v>
                </c:pt>
                <c:pt idx="4">
                  <c:v>Tata</c:v>
                </c:pt>
                <c:pt idx="5">
                  <c:v>Aircel</c:v>
                </c:pt>
                <c:pt idx="6">
                  <c:v>Uninor</c:v>
                </c:pt>
                <c:pt idx="7">
                  <c:v>BSNL</c:v>
                </c:pt>
                <c:pt idx="8">
                  <c:v>Quadrant</c:v>
                </c:pt>
                <c:pt idx="9">
                  <c:v>Sistema Shyam</c:v>
                </c:pt>
                <c:pt idx="10">
                  <c:v>Loop Mobile</c:v>
                </c:pt>
                <c:pt idx="11">
                  <c:v>MTNL</c:v>
                </c:pt>
                <c:pt idx="12">
                  <c:v>Vidiocon</c:v>
                </c:pt>
              </c:strCache>
            </c:strRef>
          </c:cat>
          <c:val>
            <c:numRef>
              <c:f>'Anne-11'!$B$5:$B$17</c:f>
              <c:numCache>
                <c:ptCount val="13"/>
                <c:pt idx="0">
                  <c:v>114.144058</c:v>
                </c:pt>
                <c:pt idx="1">
                  <c:v>150.765055</c:v>
                </c:pt>
                <c:pt idx="2">
                  <c:v>183.610883</c:v>
                </c:pt>
                <c:pt idx="3">
                  <c:v>134.11349</c:v>
                </c:pt>
                <c:pt idx="4">
                  <c:v>72.515165</c:v>
                </c:pt>
                <c:pt idx="5">
                  <c:v>65.323317</c:v>
                </c:pt>
                <c:pt idx="6">
                  <c:v>40.601992</c:v>
                </c:pt>
                <c:pt idx="7">
                  <c:v>99.909334</c:v>
                </c:pt>
                <c:pt idx="8">
                  <c:v>1.633414</c:v>
                </c:pt>
                <c:pt idx="9">
                  <c:v>15.669423</c:v>
                </c:pt>
                <c:pt idx="10">
                  <c:v>3.028539</c:v>
                </c:pt>
                <c:pt idx="11">
                  <c:v>5.3059650000000005</c:v>
                </c:pt>
                <c:pt idx="12">
                  <c:v>4.012265</c:v>
                </c:pt>
              </c:numCache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>
                <c:ptCount val="13"/>
                <c:pt idx="0">
                  <c:v>Idea</c:v>
                </c:pt>
                <c:pt idx="1">
                  <c:v>Vodaphone</c:v>
                </c:pt>
                <c:pt idx="2">
                  <c:v>Bharti Airtel</c:v>
                </c:pt>
                <c:pt idx="3">
                  <c:v>Reliance</c:v>
                </c:pt>
                <c:pt idx="4">
                  <c:v>Tata</c:v>
                </c:pt>
                <c:pt idx="5">
                  <c:v>Aircel</c:v>
                </c:pt>
                <c:pt idx="6">
                  <c:v>Uninor</c:v>
                </c:pt>
                <c:pt idx="7">
                  <c:v>BSNL</c:v>
                </c:pt>
                <c:pt idx="8">
                  <c:v>Quadrant</c:v>
                </c:pt>
                <c:pt idx="9">
                  <c:v>Sistema Shyam</c:v>
                </c:pt>
                <c:pt idx="10">
                  <c:v>Loop Mobile</c:v>
                </c:pt>
                <c:pt idx="11">
                  <c:v>MTNL</c:v>
                </c:pt>
                <c:pt idx="12">
                  <c:v>Vidiocon</c:v>
                </c:pt>
              </c:strCache>
            </c:strRef>
          </c:cat>
          <c:val>
            <c:numRef>
              <c:f>'Anne-11'!$C$5:$C$17</c:f>
              <c:numCache>
                <c:ptCount val="13"/>
                <c:pt idx="0">
                  <c:v>111.9296632748</c:v>
                </c:pt>
                <c:pt idx="1">
                  <c:v>140.7994848645</c:v>
                </c:pt>
                <c:pt idx="2">
                  <c:v>171.3456760156</c:v>
                </c:pt>
                <c:pt idx="3">
                  <c:v>103.34785539400002</c:v>
                </c:pt>
                <c:pt idx="4">
                  <c:v>47.74398463599999</c:v>
                </c:pt>
                <c:pt idx="5">
                  <c:v>40.7813468031</c:v>
                </c:pt>
                <c:pt idx="6">
                  <c:v>23.5735165552</c:v>
                </c:pt>
                <c:pt idx="7">
                  <c:v>54.500541696999996</c:v>
                </c:pt>
                <c:pt idx="8">
                  <c:v>0.851008694</c:v>
                </c:pt>
                <c:pt idx="9">
                  <c:v>7.4946850209</c:v>
                </c:pt>
                <c:pt idx="10">
                  <c:v>1.3922193782999999</c:v>
                </c:pt>
                <c:pt idx="11">
                  <c:v>2.110712877</c:v>
                </c:pt>
                <c:pt idx="12">
                  <c:v>1.4416068145</c:v>
                </c:pt>
              </c:numCache>
            </c:numRef>
          </c:val>
        </c:ser>
        <c:axId val="12857907"/>
        <c:axId val="48612300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>
                <c:ptCount val="13"/>
                <c:pt idx="0">
                  <c:v>Idea</c:v>
                </c:pt>
                <c:pt idx="1">
                  <c:v>Vodaphone</c:v>
                </c:pt>
                <c:pt idx="2">
                  <c:v>Bharti Airtel</c:v>
                </c:pt>
                <c:pt idx="3">
                  <c:v>Reliance</c:v>
                </c:pt>
                <c:pt idx="4">
                  <c:v>Tata</c:v>
                </c:pt>
                <c:pt idx="5">
                  <c:v>Aircel</c:v>
                </c:pt>
                <c:pt idx="6">
                  <c:v>Uninor</c:v>
                </c:pt>
                <c:pt idx="7">
                  <c:v>BSNL</c:v>
                </c:pt>
                <c:pt idx="8">
                  <c:v>Quadrant</c:v>
                </c:pt>
                <c:pt idx="9">
                  <c:v>Sistema Shyam</c:v>
                </c:pt>
                <c:pt idx="10">
                  <c:v>Loop Mobile</c:v>
                </c:pt>
                <c:pt idx="11">
                  <c:v>MTNL</c:v>
                </c:pt>
                <c:pt idx="12">
                  <c:v>Vidiocon</c:v>
                </c:pt>
              </c:strCache>
            </c:strRef>
          </c:cat>
          <c:val>
            <c:numRef>
              <c:f>'Anne-11'!$D$5:$D$17</c:f>
              <c:numCache>
                <c:ptCount val="13"/>
                <c:pt idx="0">
                  <c:v>98.06</c:v>
                </c:pt>
                <c:pt idx="1">
                  <c:v>93.39</c:v>
                </c:pt>
                <c:pt idx="2">
                  <c:v>93.32</c:v>
                </c:pt>
                <c:pt idx="3">
                  <c:v>77.06</c:v>
                </c:pt>
                <c:pt idx="4">
                  <c:v>65.84</c:v>
                </c:pt>
                <c:pt idx="5">
                  <c:v>62.43</c:v>
                </c:pt>
                <c:pt idx="6">
                  <c:v>58.06</c:v>
                </c:pt>
                <c:pt idx="7">
                  <c:v>54.55</c:v>
                </c:pt>
                <c:pt idx="8">
                  <c:v>52.1</c:v>
                </c:pt>
                <c:pt idx="9">
                  <c:v>47.83</c:v>
                </c:pt>
                <c:pt idx="10">
                  <c:v>45.97</c:v>
                </c:pt>
                <c:pt idx="11">
                  <c:v>39.78</c:v>
                </c:pt>
                <c:pt idx="12">
                  <c:v>35.93</c:v>
                </c:pt>
              </c:numCache>
            </c:numRef>
          </c:val>
          <c:smooth val="0"/>
        </c:ser>
        <c:axId val="34857517"/>
        <c:axId val="45282198"/>
      </c:lineChart>
      <c:dateAx>
        <c:axId val="1285790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123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57907"/>
        <c:crossesAt val="1"/>
        <c:crossBetween val="between"/>
        <c:dispUnits/>
      </c:valAx>
      <c:dateAx>
        <c:axId val="34857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2198"/>
        <c:crosses val="autoZero"/>
        <c:auto val="0"/>
        <c:noMultiLvlLbl val="0"/>
      </c:dateAx>
      <c:valAx>
        <c:axId val="45282198"/>
        <c:scaling>
          <c:orientation val="minMax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575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5"/>
          <c:y val="0.046"/>
          <c:w val="0.193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43</xdr:row>
      <xdr:rowOff>19050</xdr:rowOff>
    </xdr:from>
    <xdr:ext cx="190500" cy="371475"/>
    <xdr:sp>
      <xdr:nvSpPr>
        <xdr:cNvPr id="1" name="TextBox 7"/>
        <xdr:cNvSpPr txBox="1">
          <a:spLocks noChangeArrowheads="1"/>
        </xdr:cNvSpPr>
      </xdr:nvSpPr>
      <xdr:spPr>
        <a:xfrm>
          <a:off x="123825" y="7715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133350</xdr:rowOff>
    </xdr:from>
    <xdr:to>
      <xdr:col>14</xdr:col>
      <xdr:colOff>809625</xdr:colOff>
      <xdr:row>29</xdr:row>
      <xdr:rowOff>95250</xdr:rowOff>
    </xdr:to>
    <xdr:graphicFrame>
      <xdr:nvGraphicFramePr>
        <xdr:cNvPr id="2" name="Chart 3"/>
        <xdr:cNvGraphicFramePr/>
      </xdr:nvGraphicFramePr>
      <xdr:xfrm>
        <a:off x="0" y="523875"/>
        <a:ext cx="9610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2.140625" style="0" customWidth="1"/>
    <col min="2" max="2" width="107.421875" style="0" customWidth="1"/>
  </cols>
  <sheetData>
    <row r="2" spans="1:2" ht="12.75">
      <c r="A2" s="472" t="s">
        <v>222</v>
      </c>
      <c r="B2" s="473"/>
    </row>
    <row r="4" spans="1:2" ht="24.75" customHeight="1">
      <c r="A4" s="445" t="s">
        <v>111</v>
      </c>
      <c r="B4" s="443" t="s">
        <v>237</v>
      </c>
    </row>
    <row r="5" spans="1:2" ht="24.75" customHeight="1">
      <c r="A5" s="445" t="s">
        <v>211</v>
      </c>
      <c r="B5" s="443" t="s">
        <v>238</v>
      </c>
    </row>
    <row r="6" spans="1:2" ht="24.75" customHeight="1">
      <c r="A6" s="445" t="s">
        <v>212</v>
      </c>
      <c r="B6" s="443" t="s">
        <v>239</v>
      </c>
    </row>
    <row r="7" spans="1:2" ht="24.75" customHeight="1">
      <c r="A7" s="445" t="s">
        <v>213</v>
      </c>
      <c r="B7" s="443" t="s">
        <v>240</v>
      </c>
    </row>
    <row r="8" spans="1:2" ht="24.75" customHeight="1">
      <c r="A8" s="445" t="s">
        <v>214</v>
      </c>
      <c r="B8" s="443" t="s">
        <v>241</v>
      </c>
    </row>
    <row r="9" spans="1:2" ht="24.75" customHeight="1">
      <c r="A9" s="445" t="s">
        <v>215</v>
      </c>
      <c r="B9" s="443" t="s">
        <v>242</v>
      </c>
    </row>
    <row r="10" spans="1:2" ht="24.75" customHeight="1">
      <c r="A10" s="445" t="s">
        <v>216</v>
      </c>
      <c r="B10" s="443" t="s">
        <v>243</v>
      </c>
    </row>
    <row r="11" spans="1:2" ht="24.75" customHeight="1">
      <c r="A11" s="445" t="s">
        <v>217</v>
      </c>
      <c r="B11" s="443" t="s">
        <v>244</v>
      </c>
    </row>
    <row r="12" spans="1:6" ht="24.75" customHeight="1">
      <c r="A12" s="445" t="s">
        <v>218</v>
      </c>
      <c r="B12" s="443" t="s">
        <v>219</v>
      </c>
      <c r="F12" s="444"/>
    </row>
    <row r="13" spans="1:2" ht="24.75" customHeight="1">
      <c r="A13" s="445" t="s">
        <v>220</v>
      </c>
      <c r="B13" s="443" t="s">
        <v>245</v>
      </c>
    </row>
    <row r="14" spans="1:2" ht="24.75" customHeight="1">
      <c r="A14" s="445" t="s">
        <v>221</v>
      </c>
      <c r="B14" s="443" t="s">
        <v>246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60" zoomScalePageLayoutView="0" workbookViewId="0" topLeftCell="A1">
      <pane xSplit="2" ySplit="12" topLeftCell="C2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23" sqref="P23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31st January 2013.</v>
      </c>
      <c r="P1" s="29" t="s">
        <v>172</v>
      </c>
    </row>
    <row r="2" ht="15.75">
      <c r="N2" s="29"/>
    </row>
    <row r="3" spans="2:14" ht="15.75">
      <c r="B3" s="29" t="s">
        <v>180</v>
      </c>
      <c r="N3" s="29"/>
    </row>
    <row r="4" spans="7:12" ht="15.75" thickBot="1">
      <c r="G4" s="75"/>
      <c r="H4" s="75"/>
      <c r="I4" s="75"/>
      <c r="J4" s="75"/>
      <c r="K4" s="75"/>
      <c r="L4" s="75"/>
    </row>
    <row r="5" spans="1:17" ht="33.75" customHeight="1">
      <c r="A5" s="459" t="s">
        <v>62</v>
      </c>
      <c r="B5" s="457" t="s">
        <v>156</v>
      </c>
      <c r="C5" s="484" t="s">
        <v>157</v>
      </c>
      <c r="D5" s="485"/>
      <c r="E5" s="485"/>
      <c r="F5" s="485"/>
      <c r="G5" s="486"/>
      <c r="H5" s="484" t="s">
        <v>158</v>
      </c>
      <c r="I5" s="485"/>
      <c r="J5" s="485"/>
      <c r="K5" s="485"/>
      <c r="L5" s="486"/>
      <c r="M5" s="484" t="s">
        <v>159</v>
      </c>
      <c r="N5" s="485"/>
      <c r="O5" s="485"/>
      <c r="P5" s="485"/>
      <c r="Q5" s="486"/>
    </row>
    <row r="6" spans="1:17" ht="16.5" customHeight="1">
      <c r="A6" s="460"/>
      <c r="B6" s="579"/>
      <c r="C6" s="483" t="s">
        <v>160</v>
      </c>
      <c r="D6" s="488"/>
      <c r="E6" s="488" t="s">
        <v>161</v>
      </c>
      <c r="F6" s="488"/>
      <c r="G6" s="487" t="s">
        <v>70</v>
      </c>
      <c r="H6" s="483" t="s">
        <v>160</v>
      </c>
      <c r="I6" s="488"/>
      <c r="J6" s="488" t="s">
        <v>161</v>
      </c>
      <c r="K6" s="488"/>
      <c r="L6" s="487" t="s">
        <v>70</v>
      </c>
      <c r="M6" s="483" t="s">
        <v>160</v>
      </c>
      <c r="N6" s="488"/>
      <c r="O6" s="488" t="s">
        <v>161</v>
      </c>
      <c r="P6" s="488"/>
      <c r="Q6" s="487" t="s">
        <v>70</v>
      </c>
    </row>
    <row r="7" spans="1:17" ht="22.5" customHeight="1">
      <c r="A7" s="483"/>
      <c r="B7" s="487"/>
      <c r="C7" s="483"/>
      <c r="D7" s="488"/>
      <c r="E7" s="488"/>
      <c r="F7" s="488"/>
      <c r="G7" s="487"/>
      <c r="H7" s="483"/>
      <c r="I7" s="488"/>
      <c r="J7" s="488"/>
      <c r="K7" s="488"/>
      <c r="L7" s="487"/>
      <c r="M7" s="483"/>
      <c r="N7" s="488"/>
      <c r="O7" s="488"/>
      <c r="P7" s="488"/>
      <c r="Q7" s="487"/>
    </row>
    <row r="8" spans="1:28" s="271" customFormat="1" ht="24.75" customHeight="1" thickBot="1">
      <c r="A8" s="266">
        <v>1</v>
      </c>
      <c r="B8" s="267" t="s">
        <v>162</v>
      </c>
      <c r="C8" s="580">
        <v>28.04</v>
      </c>
      <c r="D8" s="581"/>
      <c r="E8" s="582">
        <v>2.62</v>
      </c>
      <c r="F8" s="581"/>
      <c r="G8" s="268">
        <f>SUM(C8:F8)</f>
        <v>30.66</v>
      </c>
      <c r="H8" s="580">
        <v>23.93</v>
      </c>
      <c r="I8" s="581"/>
      <c r="J8" s="582">
        <v>0</v>
      </c>
      <c r="K8" s="581"/>
      <c r="L8" s="268">
        <f>SUM(H8:K8)</f>
        <v>23.93</v>
      </c>
      <c r="M8" s="584">
        <f>H8/C8*100</f>
        <v>85.34236804564908</v>
      </c>
      <c r="N8" s="585"/>
      <c r="O8" s="586">
        <f>J8/E8*100</f>
        <v>0</v>
      </c>
      <c r="P8" s="585"/>
      <c r="Q8" s="270">
        <f>L8/G8*100</f>
        <v>78.04957599478148</v>
      </c>
      <c r="S8" s="272"/>
      <c r="T8" s="273"/>
      <c r="U8" s="273"/>
      <c r="AA8" s="161">
        <v>29.14983</v>
      </c>
      <c r="AB8" s="161">
        <f>AA8/AA14*100</f>
        <v>815.7892380120263</v>
      </c>
    </row>
    <row r="9" ht="15.75" thickBot="1"/>
    <row r="10" spans="1:17" ht="33.75" customHeight="1">
      <c r="A10" s="459" t="s">
        <v>62</v>
      </c>
      <c r="B10" s="457" t="s">
        <v>156</v>
      </c>
      <c r="C10" s="484" t="s">
        <v>157</v>
      </c>
      <c r="D10" s="485"/>
      <c r="E10" s="485"/>
      <c r="F10" s="485"/>
      <c r="G10" s="486"/>
      <c r="H10" s="484" t="s">
        <v>158</v>
      </c>
      <c r="I10" s="485"/>
      <c r="J10" s="485"/>
      <c r="K10" s="485"/>
      <c r="L10" s="486"/>
      <c r="M10" s="484" t="s">
        <v>159</v>
      </c>
      <c r="N10" s="485"/>
      <c r="O10" s="485"/>
      <c r="P10" s="485"/>
      <c r="Q10" s="486"/>
    </row>
    <row r="11" spans="1:17" ht="16.5" customHeight="1">
      <c r="A11" s="460"/>
      <c r="B11" s="579"/>
      <c r="C11" s="483" t="s">
        <v>141</v>
      </c>
      <c r="D11" s="488" t="s">
        <v>139</v>
      </c>
      <c r="E11" s="488"/>
      <c r="F11" s="488"/>
      <c r="G11" s="487" t="s">
        <v>70</v>
      </c>
      <c r="H11" s="483" t="s">
        <v>141</v>
      </c>
      <c r="I11" s="488" t="s">
        <v>139</v>
      </c>
      <c r="J11" s="488"/>
      <c r="K11" s="488"/>
      <c r="L11" s="487" t="s">
        <v>70</v>
      </c>
      <c r="M11" s="483" t="s">
        <v>141</v>
      </c>
      <c r="N11" s="488" t="s">
        <v>139</v>
      </c>
      <c r="O11" s="488"/>
      <c r="P11" s="488"/>
      <c r="Q11" s="487" t="s">
        <v>70</v>
      </c>
    </row>
    <row r="12" spans="1:17" ht="21" customHeight="1">
      <c r="A12" s="483"/>
      <c r="B12" s="487"/>
      <c r="C12" s="483"/>
      <c r="D12" s="184" t="s">
        <v>131</v>
      </c>
      <c r="E12" s="184" t="s">
        <v>138</v>
      </c>
      <c r="F12" s="184" t="s">
        <v>89</v>
      </c>
      <c r="G12" s="487"/>
      <c r="H12" s="483"/>
      <c r="I12" s="184" t="s">
        <v>131</v>
      </c>
      <c r="J12" s="184" t="s">
        <v>138</v>
      </c>
      <c r="K12" s="184" t="s">
        <v>89</v>
      </c>
      <c r="L12" s="487"/>
      <c r="M12" s="483"/>
      <c r="N12" s="184" t="s">
        <v>131</v>
      </c>
      <c r="O12" s="184" t="s">
        <v>138</v>
      </c>
      <c r="P12" s="184" t="s">
        <v>89</v>
      </c>
      <c r="Q12" s="487"/>
    </row>
    <row r="13" spans="1:28" s="271" customFormat="1" ht="24.75" customHeight="1">
      <c r="A13" s="274">
        <v>2</v>
      </c>
      <c r="B13" s="275" t="s">
        <v>163</v>
      </c>
      <c r="C13" s="276">
        <v>32.512157</v>
      </c>
      <c r="D13" s="277">
        <v>0.074725</v>
      </c>
      <c r="E13" s="277">
        <v>3.577095</v>
      </c>
      <c r="F13" s="277">
        <f aca="true" t="shared" si="0" ref="F13:F25">SUM(D13:E13)</f>
        <v>3.65182</v>
      </c>
      <c r="G13" s="278">
        <f aca="true" t="shared" si="1" ref="G13:G25">C13+F13</f>
        <v>36.163977</v>
      </c>
      <c r="H13" s="276">
        <v>28.108976</v>
      </c>
      <c r="I13" s="277">
        <v>0</v>
      </c>
      <c r="J13" s="277">
        <v>0</v>
      </c>
      <c r="K13" s="277">
        <v>0</v>
      </c>
      <c r="L13" s="278">
        <f aca="true" t="shared" si="2" ref="L13:L25">H13+K13</f>
        <v>28.108976</v>
      </c>
      <c r="M13" s="279">
        <f>H13/C13*100</f>
        <v>86.45681675319172</v>
      </c>
      <c r="N13" s="280">
        <f>I13/D13*100</f>
        <v>0</v>
      </c>
      <c r="O13" s="280">
        <f>J13/E13*100</f>
        <v>0</v>
      </c>
      <c r="P13" s="280">
        <f>K13/F13*100</f>
        <v>0</v>
      </c>
      <c r="Q13" s="281">
        <f>L13/G13*100</f>
        <v>77.726451380057</v>
      </c>
      <c r="S13" s="272"/>
      <c r="T13" s="273"/>
      <c r="U13" s="273"/>
      <c r="AA13" s="161">
        <v>29.14983</v>
      </c>
      <c r="AB13" s="161">
        <f>AA13/AA19*100</f>
        <v>77.09726343320534</v>
      </c>
    </row>
    <row r="14" spans="1:28" s="271" customFormat="1" ht="24.75" customHeight="1">
      <c r="A14" s="274">
        <v>3</v>
      </c>
      <c r="B14" s="275" t="s">
        <v>164</v>
      </c>
      <c r="C14" s="276">
        <v>38.072367</v>
      </c>
      <c r="D14" s="277">
        <v>0.455953</v>
      </c>
      <c r="E14" s="277">
        <v>6.43152</v>
      </c>
      <c r="F14" s="277">
        <f t="shared" si="0"/>
        <v>6.887473</v>
      </c>
      <c r="G14" s="278">
        <f t="shared" si="1"/>
        <v>44.95984</v>
      </c>
      <c r="H14" s="276">
        <v>33.204489</v>
      </c>
      <c r="I14" s="277">
        <v>0.196699</v>
      </c>
      <c r="J14" s="277">
        <v>0.017677</v>
      </c>
      <c r="K14" s="277">
        <f aca="true" t="shared" si="3" ref="K14:K25">SUM(I14:J14)</f>
        <v>0.214376</v>
      </c>
      <c r="L14" s="278">
        <f t="shared" si="2"/>
        <v>33.418865000000004</v>
      </c>
      <c r="M14" s="279">
        <f aca="true" t="shared" si="4" ref="M14:Q22">H14/C14*100</f>
        <v>87.21414405361243</v>
      </c>
      <c r="N14" s="280">
        <f t="shared" si="4"/>
        <v>43.140192081201356</v>
      </c>
      <c r="O14" s="280">
        <f t="shared" si="4"/>
        <v>0.2748494912555663</v>
      </c>
      <c r="P14" s="280">
        <f t="shared" si="4"/>
        <v>3.1125494067272568</v>
      </c>
      <c r="Q14" s="281">
        <f t="shared" si="4"/>
        <v>74.33048026861306</v>
      </c>
      <c r="S14" s="272"/>
      <c r="T14" s="273"/>
      <c r="U14" s="273"/>
      <c r="V14" s="272"/>
      <c r="AA14" s="161">
        <v>3.573206</v>
      </c>
      <c r="AB14" s="161">
        <f>AA14/AA19*100</f>
        <v>9.450635021991891</v>
      </c>
    </row>
    <row r="15" spans="1:28" s="271" customFormat="1" ht="24.75" customHeight="1">
      <c r="A15" s="274">
        <v>4</v>
      </c>
      <c r="B15" s="275" t="s">
        <v>165</v>
      </c>
      <c r="C15" s="276">
        <v>40.745862</v>
      </c>
      <c r="D15" s="277">
        <v>1.137781</v>
      </c>
      <c r="E15" s="277">
        <v>12.687637</v>
      </c>
      <c r="F15" s="277">
        <f t="shared" si="0"/>
        <v>13.825418</v>
      </c>
      <c r="G15" s="278">
        <f t="shared" si="1"/>
        <v>54.57128</v>
      </c>
      <c r="H15" s="276">
        <v>35.416958</v>
      </c>
      <c r="I15" s="277">
        <v>0.515919</v>
      </c>
      <c r="J15" s="277">
        <v>2.256288</v>
      </c>
      <c r="K15" s="277">
        <f t="shared" si="3"/>
        <v>2.772207</v>
      </c>
      <c r="L15" s="278">
        <f t="shared" si="2"/>
        <v>38.189165</v>
      </c>
      <c r="M15" s="279">
        <f t="shared" si="4"/>
        <v>86.92160691066003</v>
      </c>
      <c r="N15" s="280">
        <f t="shared" si="4"/>
        <v>45.34431494285808</v>
      </c>
      <c r="O15" s="280">
        <f t="shared" si="4"/>
        <v>17.78335871368325</v>
      </c>
      <c r="P15" s="280">
        <f t="shared" si="4"/>
        <v>20.05152393945702</v>
      </c>
      <c r="Q15" s="281">
        <f t="shared" si="4"/>
        <v>69.98033581033833</v>
      </c>
      <c r="S15" s="272"/>
      <c r="T15" s="273"/>
      <c r="U15" s="273"/>
      <c r="V15" s="272"/>
      <c r="AA15" s="161">
        <v>2.756253</v>
      </c>
      <c r="AB15" s="161">
        <f>AA15/AA19*100</f>
        <v>7.2899074756032025</v>
      </c>
    </row>
    <row r="16" spans="1:28" s="271" customFormat="1" ht="24.75" customHeight="1">
      <c r="A16" s="274">
        <v>5</v>
      </c>
      <c r="B16" s="275" t="s">
        <v>166</v>
      </c>
      <c r="C16" s="276">
        <v>40.919515</v>
      </c>
      <c r="D16" s="277">
        <v>9.465588</v>
      </c>
      <c r="E16" s="277">
        <v>26.154405</v>
      </c>
      <c r="F16" s="277">
        <f t="shared" si="0"/>
        <v>35.619993</v>
      </c>
      <c r="G16" s="278">
        <f t="shared" si="1"/>
        <v>76.539508</v>
      </c>
      <c r="H16" s="276">
        <v>35.435637</v>
      </c>
      <c r="I16" s="277">
        <v>0.958792</v>
      </c>
      <c r="J16" s="277">
        <v>5.254117</v>
      </c>
      <c r="K16" s="277">
        <f t="shared" si="3"/>
        <v>6.212909</v>
      </c>
      <c r="L16" s="278">
        <f t="shared" si="2"/>
        <v>41.648545999999996</v>
      </c>
      <c r="M16" s="279">
        <f t="shared" si="4"/>
        <v>86.59837977063023</v>
      </c>
      <c r="N16" s="280">
        <f t="shared" si="4"/>
        <v>10.129238669589252</v>
      </c>
      <c r="O16" s="280">
        <f t="shared" si="4"/>
        <v>20.088841631075148</v>
      </c>
      <c r="P16" s="280">
        <f t="shared" si="4"/>
        <v>17.442196016153062</v>
      </c>
      <c r="Q16" s="281">
        <f t="shared" si="4"/>
        <v>54.41444175470791</v>
      </c>
      <c r="S16" s="272"/>
      <c r="T16" s="273"/>
      <c r="U16" s="273"/>
      <c r="V16" s="272"/>
      <c r="AA16" s="161">
        <v>1.115693</v>
      </c>
      <c r="AB16" s="161">
        <f>AA16/AA19*100</f>
        <v>2.950853474328432</v>
      </c>
    </row>
    <row r="17" spans="1:28" s="406" customFormat="1" ht="24.75" customHeight="1">
      <c r="A17" s="399">
        <v>6</v>
      </c>
      <c r="B17" s="400" t="s">
        <v>167</v>
      </c>
      <c r="C17" s="282">
        <v>41.349173</v>
      </c>
      <c r="D17" s="401">
        <v>16.007314</v>
      </c>
      <c r="E17" s="401">
        <v>41.066272</v>
      </c>
      <c r="F17" s="401">
        <f t="shared" si="0"/>
        <v>57.073586</v>
      </c>
      <c r="G17" s="402">
        <f t="shared" si="1"/>
        <v>98.422759</v>
      </c>
      <c r="H17" s="282">
        <v>35.859482</v>
      </c>
      <c r="I17" s="401">
        <v>1.628111</v>
      </c>
      <c r="J17" s="401">
        <v>9.447357</v>
      </c>
      <c r="K17" s="401">
        <f t="shared" si="3"/>
        <v>11.075468</v>
      </c>
      <c r="L17" s="402">
        <f t="shared" si="2"/>
        <v>46.93495</v>
      </c>
      <c r="M17" s="403">
        <f t="shared" si="4"/>
        <v>86.72357727686597</v>
      </c>
      <c r="N17" s="404">
        <f t="shared" si="4"/>
        <v>10.171044311369165</v>
      </c>
      <c r="O17" s="404">
        <f t="shared" si="4"/>
        <v>23.005148848183737</v>
      </c>
      <c r="P17" s="404">
        <f t="shared" si="4"/>
        <v>19.405593333490557</v>
      </c>
      <c r="Q17" s="405">
        <f t="shared" si="4"/>
        <v>47.68709034055833</v>
      </c>
      <c r="S17" s="407"/>
      <c r="T17" s="408"/>
      <c r="U17" s="408"/>
      <c r="V17" s="407"/>
      <c r="AA17" s="409">
        <v>0.929564</v>
      </c>
      <c r="AB17" s="409">
        <f>AA17/AA19*100</f>
        <v>2.4585680460580415</v>
      </c>
    </row>
    <row r="18" spans="1:28" s="271" customFormat="1" ht="24.75" customHeight="1">
      <c r="A18" s="274">
        <v>7</v>
      </c>
      <c r="B18" s="275" t="s">
        <v>168</v>
      </c>
      <c r="C18" s="276">
        <v>41.564713</v>
      </c>
      <c r="D18" s="277">
        <v>29.697012</v>
      </c>
      <c r="E18" s="277">
        <v>69.198304</v>
      </c>
      <c r="F18" s="277">
        <f t="shared" si="0"/>
        <v>98.895316</v>
      </c>
      <c r="G18" s="278">
        <f t="shared" si="1"/>
        <v>140.460029</v>
      </c>
      <c r="H18" s="276">
        <v>35.422889</v>
      </c>
      <c r="I18" s="277">
        <v>2.572525</v>
      </c>
      <c r="J18" s="277">
        <v>17.163761</v>
      </c>
      <c r="K18" s="277">
        <f t="shared" si="3"/>
        <v>19.736286</v>
      </c>
      <c r="L18" s="278">
        <f t="shared" si="2"/>
        <v>55.159175</v>
      </c>
      <c r="M18" s="279">
        <f t="shared" si="4"/>
        <v>85.22346587597032</v>
      </c>
      <c r="N18" s="280">
        <f t="shared" si="4"/>
        <v>8.662571843928271</v>
      </c>
      <c r="O18" s="280">
        <f t="shared" si="4"/>
        <v>24.803730738834297</v>
      </c>
      <c r="P18" s="280">
        <f t="shared" si="4"/>
        <v>19.956744968588808</v>
      </c>
      <c r="Q18" s="281">
        <f t="shared" si="4"/>
        <v>39.27037135952748</v>
      </c>
      <c r="S18" s="272"/>
      <c r="T18" s="273"/>
      <c r="U18" s="273"/>
      <c r="V18" s="272"/>
      <c r="AA18" s="161">
        <v>0.284617</v>
      </c>
      <c r="AB18" s="161">
        <f>AA18/AA19*100</f>
        <v>0.7527725488131013</v>
      </c>
    </row>
    <row r="19" spans="1:28" s="271" customFormat="1" ht="24.75" customHeight="1">
      <c r="A19" s="274">
        <v>8</v>
      </c>
      <c r="B19" s="275" t="s">
        <v>169</v>
      </c>
      <c r="C19" s="276">
        <v>40.773116</v>
      </c>
      <c r="D19" s="277">
        <v>44.623054</v>
      </c>
      <c r="E19" s="277">
        <v>121.43094</v>
      </c>
      <c r="F19" s="277">
        <f t="shared" si="0"/>
        <v>166.05399400000002</v>
      </c>
      <c r="G19" s="278">
        <f t="shared" si="1"/>
        <v>206.82711</v>
      </c>
      <c r="H19" s="276">
        <v>33.738604</v>
      </c>
      <c r="I19" s="277">
        <v>3.556263</v>
      </c>
      <c r="J19" s="277">
        <v>27.428658</v>
      </c>
      <c r="K19" s="277">
        <f t="shared" si="3"/>
        <v>30.984921</v>
      </c>
      <c r="L19" s="278">
        <f t="shared" si="2"/>
        <v>64.723525</v>
      </c>
      <c r="M19" s="279">
        <f t="shared" si="4"/>
        <v>82.7471807648942</v>
      </c>
      <c r="N19" s="280">
        <f t="shared" si="4"/>
        <v>7.9695643422343965</v>
      </c>
      <c r="O19" s="280">
        <f t="shared" si="4"/>
        <v>22.58786599197865</v>
      </c>
      <c r="P19" s="280">
        <f t="shared" si="4"/>
        <v>18.659545761964626</v>
      </c>
      <c r="Q19" s="281">
        <f t="shared" si="4"/>
        <v>31.29354029072881</v>
      </c>
      <c r="S19" s="272"/>
      <c r="T19" s="273"/>
      <c r="U19" s="273"/>
      <c r="V19" s="272"/>
      <c r="AA19" s="161">
        <f>SUM(AA13:AA18)</f>
        <v>37.809163</v>
      </c>
      <c r="AB19" s="161">
        <f>AA19/AA19*100</f>
        <v>100</v>
      </c>
    </row>
    <row r="20" spans="1:22" s="271" customFormat="1" ht="24.75" customHeight="1">
      <c r="A20" s="274">
        <v>9</v>
      </c>
      <c r="B20" s="275" t="s">
        <v>170</v>
      </c>
      <c r="C20" s="282">
        <v>39.415963</v>
      </c>
      <c r="D20" s="277">
        <v>68.380974</v>
      </c>
      <c r="E20" s="277">
        <v>192.355029</v>
      </c>
      <c r="F20" s="277">
        <f t="shared" si="0"/>
        <v>260.736003</v>
      </c>
      <c r="G20" s="278">
        <f t="shared" si="1"/>
        <v>300.15196599999996</v>
      </c>
      <c r="H20" s="276">
        <v>31.552296</v>
      </c>
      <c r="I20" s="277">
        <v>4.577732</v>
      </c>
      <c r="J20" s="277">
        <v>36.20904</v>
      </c>
      <c r="K20" s="277">
        <f t="shared" si="3"/>
        <v>40.786772</v>
      </c>
      <c r="L20" s="278">
        <f t="shared" si="2"/>
        <v>72.339068</v>
      </c>
      <c r="M20" s="279">
        <f t="shared" si="4"/>
        <v>80.04953729025979</v>
      </c>
      <c r="N20" s="280">
        <f t="shared" si="4"/>
        <v>6.694452758160479</v>
      </c>
      <c r="O20" s="280">
        <f t="shared" si="4"/>
        <v>18.82406724078943</v>
      </c>
      <c r="P20" s="280">
        <f t="shared" si="4"/>
        <v>15.642938271167713</v>
      </c>
      <c r="Q20" s="281">
        <f t="shared" si="4"/>
        <v>24.10081431883741</v>
      </c>
      <c r="S20" s="329">
        <f>G20-G19</f>
        <v>93.32485599999995</v>
      </c>
      <c r="T20" s="273">
        <f>L20-L19</f>
        <v>7.615543000000002</v>
      </c>
      <c r="U20" s="273"/>
      <c r="V20" s="272"/>
    </row>
    <row r="21" spans="1:22" s="271" customFormat="1" ht="24.75" customHeight="1">
      <c r="A21" s="274">
        <v>10</v>
      </c>
      <c r="B21" s="275" t="s">
        <v>171</v>
      </c>
      <c r="C21" s="276">
        <v>37.905555</v>
      </c>
      <c r="D21" s="277">
        <v>102.952086</v>
      </c>
      <c r="E21" s="277">
        <v>288.390629</v>
      </c>
      <c r="F21" s="277">
        <f t="shared" si="0"/>
        <v>391.342715</v>
      </c>
      <c r="G21" s="278">
        <f t="shared" si="1"/>
        <v>429.24827</v>
      </c>
      <c r="H21" s="276">
        <v>29.346431</v>
      </c>
      <c r="I21" s="277">
        <v>5.433038</v>
      </c>
      <c r="J21" s="277">
        <v>46.711196</v>
      </c>
      <c r="K21" s="277">
        <f t="shared" si="3"/>
        <v>52.144234</v>
      </c>
      <c r="L21" s="278">
        <f t="shared" si="2"/>
        <v>81.49066499999999</v>
      </c>
      <c r="M21" s="279">
        <f t="shared" si="4"/>
        <v>77.4198689347775</v>
      </c>
      <c r="N21" s="280">
        <f t="shared" si="4"/>
        <v>5.277249069047518</v>
      </c>
      <c r="O21" s="280">
        <f t="shared" si="4"/>
        <v>16.19719619946458</v>
      </c>
      <c r="P21" s="280">
        <f t="shared" si="4"/>
        <v>13.324442234730242</v>
      </c>
      <c r="Q21" s="281">
        <f t="shared" si="4"/>
        <v>18.98450633243088</v>
      </c>
      <c r="S21" s="329">
        <f>G21-G20</f>
        <v>129.09630400000003</v>
      </c>
      <c r="T21" s="273">
        <f>L21-L20</f>
        <v>9.151596999999995</v>
      </c>
      <c r="U21" s="273"/>
      <c r="V21" s="272"/>
    </row>
    <row r="22" spans="1:27" s="271" customFormat="1" ht="24.75" customHeight="1">
      <c r="A22" s="283">
        <v>11</v>
      </c>
      <c r="B22" s="284" t="s">
        <v>149</v>
      </c>
      <c r="C22" s="285">
        <v>36.942204999999994</v>
      </c>
      <c r="D22" s="287">
        <v>162.727327</v>
      </c>
      <c r="E22" s="286">
        <v>421.6797219999999</v>
      </c>
      <c r="F22" s="287">
        <f t="shared" si="0"/>
        <v>584.4070489999999</v>
      </c>
      <c r="G22" s="288">
        <f t="shared" si="1"/>
        <v>621.3492539999999</v>
      </c>
      <c r="H22" s="285">
        <v>27.83056</v>
      </c>
      <c r="I22" s="287">
        <v>6.144929</v>
      </c>
      <c r="J22" s="287">
        <v>63.305083</v>
      </c>
      <c r="K22" s="287">
        <f t="shared" si="3"/>
        <v>69.450012</v>
      </c>
      <c r="L22" s="288">
        <f t="shared" si="2"/>
        <v>97.280572</v>
      </c>
      <c r="M22" s="289">
        <f t="shared" si="4"/>
        <v>75.33540566947751</v>
      </c>
      <c r="N22" s="290">
        <f t="shared" si="4"/>
        <v>3.7762120925147378</v>
      </c>
      <c r="O22" s="290">
        <f t="shared" si="4"/>
        <v>15.012598353022064</v>
      </c>
      <c r="P22" s="290">
        <f t="shared" si="4"/>
        <v>11.88384228404473</v>
      </c>
      <c r="Q22" s="291">
        <f t="shared" si="4"/>
        <v>15.656343252003008</v>
      </c>
      <c r="S22" s="329">
        <f>G22-G21</f>
        <v>192.10098399999987</v>
      </c>
      <c r="T22" s="273">
        <f>L22-L21</f>
        <v>15.789907000000014</v>
      </c>
      <c r="U22" s="273"/>
      <c r="V22" s="272"/>
      <c r="AA22" s="271">
        <v>162044</v>
      </c>
    </row>
    <row r="23" spans="1:22" s="271" customFormat="1" ht="24.75" customHeight="1">
      <c r="A23" s="283">
        <v>12</v>
      </c>
      <c r="B23" s="284" t="s">
        <v>178</v>
      </c>
      <c r="C23" s="285">
        <v>34.724279</v>
      </c>
      <c r="D23" s="287">
        <v>225.920431</v>
      </c>
      <c r="E23" s="286">
        <v>585.6803009999999</v>
      </c>
      <c r="F23" s="287">
        <f t="shared" si="0"/>
        <v>811.6007319999999</v>
      </c>
      <c r="G23" s="288">
        <f t="shared" si="1"/>
        <v>846.3250109999999</v>
      </c>
      <c r="H23" s="285">
        <v>25.224905</v>
      </c>
      <c r="I23" s="287">
        <v>5.565437</v>
      </c>
      <c r="J23" s="287">
        <v>86.268689</v>
      </c>
      <c r="K23" s="287">
        <f>SUM(I23:J23)</f>
        <v>91.834126</v>
      </c>
      <c r="L23" s="288">
        <f>H23+K23</f>
        <v>117.059031</v>
      </c>
      <c r="M23" s="289">
        <f aca="true" t="shared" si="5" ref="M23:Q25">H23/C23*100</f>
        <v>72.64342335228903</v>
      </c>
      <c r="N23" s="290">
        <f t="shared" si="5"/>
        <v>2.463450063088805</v>
      </c>
      <c r="O23" s="290">
        <f t="shared" si="5"/>
        <v>14.72965521508978</v>
      </c>
      <c r="P23" s="290">
        <f t="shared" si="5"/>
        <v>11.315185211045375</v>
      </c>
      <c r="Q23" s="291">
        <f t="shared" si="5"/>
        <v>13.83145121301396</v>
      </c>
      <c r="S23" s="329">
        <f>G23-G22</f>
        <v>224.97575700000004</v>
      </c>
      <c r="T23" s="273">
        <f>L23-L22</f>
        <v>19.778458999999998</v>
      </c>
      <c r="U23" s="273"/>
      <c r="V23" s="272">
        <f>T23-T20</f>
        <v>12.162915999999996</v>
      </c>
    </row>
    <row r="24" spans="1:22" s="271" customFormat="1" ht="24.75" customHeight="1">
      <c r="A24" s="283">
        <v>13</v>
      </c>
      <c r="B24" s="284" t="s">
        <v>184</v>
      </c>
      <c r="C24" s="285">
        <v>32.15114</v>
      </c>
      <c r="D24" s="287">
        <v>224.340209</v>
      </c>
      <c r="E24" s="286">
        <v>695.756599</v>
      </c>
      <c r="F24" s="287">
        <f t="shared" si="0"/>
        <v>920.096808</v>
      </c>
      <c r="G24" s="288">
        <f t="shared" si="1"/>
        <v>952.247948</v>
      </c>
      <c r="H24" s="285">
        <v>22.467732</v>
      </c>
      <c r="I24" s="287">
        <v>4.003914</v>
      </c>
      <c r="J24" s="287">
        <v>94.509074</v>
      </c>
      <c r="K24" s="287">
        <f>SUM(I24:J24)</f>
        <v>98.51298799999999</v>
      </c>
      <c r="L24" s="288">
        <f>H24+K24</f>
        <v>120.98071999999999</v>
      </c>
      <c r="M24" s="289">
        <f>H24/C24*100</f>
        <v>69.88160295404768</v>
      </c>
      <c r="N24" s="290">
        <f>I24/D24*100</f>
        <v>1.7847509449364918</v>
      </c>
      <c r="O24" s="290">
        <f>J24/E24*100</f>
        <v>13.583640332817021</v>
      </c>
      <c r="P24" s="290">
        <f>K24/F24*100</f>
        <v>10.706806842872995</v>
      </c>
      <c r="Q24" s="291">
        <f>L24/G24*100</f>
        <v>12.70474987676214</v>
      </c>
      <c r="S24" s="329"/>
      <c r="T24" s="273"/>
      <c r="U24" s="273"/>
      <c r="V24" s="272"/>
    </row>
    <row r="25" spans="1:22" s="271" customFormat="1" ht="24.75" customHeight="1" thickBot="1">
      <c r="A25" s="266">
        <v>14</v>
      </c>
      <c r="B25" s="294" t="s">
        <v>194</v>
      </c>
      <c r="C25" s="293">
        <f>'Anne-2'!C22</f>
        <v>30.78404</v>
      </c>
      <c r="D25" s="295">
        <f>'Anne-2'!D22</f>
        <v>174.732893</v>
      </c>
      <c r="E25" s="295">
        <f>'Anne-2'!E22</f>
        <v>690.021826</v>
      </c>
      <c r="F25" s="292">
        <f t="shared" si="0"/>
        <v>864.754719</v>
      </c>
      <c r="G25" s="268">
        <f t="shared" si="1"/>
        <v>895.538759</v>
      </c>
      <c r="H25" s="293">
        <f>'Anne-2'!C9</f>
        <v>21.041104</v>
      </c>
      <c r="I25" s="295">
        <f>'Anne-2'!D9</f>
        <v>2.82957</v>
      </c>
      <c r="J25" s="295">
        <f>'Anne-2'!E9</f>
        <v>97.092777</v>
      </c>
      <c r="K25" s="292">
        <f t="shared" si="3"/>
        <v>99.922347</v>
      </c>
      <c r="L25" s="268">
        <f t="shared" si="2"/>
        <v>120.963451</v>
      </c>
      <c r="M25" s="293">
        <f t="shared" si="5"/>
        <v>68.35069081251194</v>
      </c>
      <c r="N25" s="269">
        <f t="shared" si="5"/>
        <v>1.6193688271389177</v>
      </c>
      <c r="O25" s="269">
        <f t="shared" si="5"/>
        <v>14.070971865171117</v>
      </c>
      <c r="P25" s="269">
        <f t="shared" si="5"/>
        <v>11.554992971365328</v>
      </c>
      <c r="Q25" s="270">
        <f t="shared" si="5"/>
        <v>13.507338435588581</v>
      </c>
      <c r="S25" s="329">
        <f>G25-G23</f>
        <v>49.21374800000012</v>
      </c>
      <c r="T25" s="273">
        <f>L25-L23</f>
        <v>3.904420000000002</v>
      </c>
      <c r="V25" s="271">
        <f>V23/4</f>
        <v>3.040728999999999</v>
      </c>
    </row>
    <row r="26" ht="15">
      <c r="D26" s="75"/>
    </row>
    <row r="29" spans="6:11" ht="15">
      <c r="F29" s="162">
        <f>(F25-F22)/F22*100</f>
        <v>47.97130193410794</v>
      </c>
      <c r="K29" s="26">
        <f>(K25-K22)/K22*100</f>
        <v>43.87664468654088</v>
      </c>
    </row>
    <row r="34" spans="8:9" ht="15">
      <c r="H34" s="583"/>
      <c r="I34" s="583"/>
    </row>
    <row r="35" spans="8:9" ht="15">
      <c r="H35" s="583"/>
      <c r="I35" s="583"/>
    </row>
    <row r="36" spans="8:9" ht="15">
      <c r="H36" s="583"/>
      <c r="I36" s="583"/>
    </row>
    <row r="37" spans="8:9" ht="15">
      <c r="H37" s="583"/>
      <c r="I37" s="583"/>
    </row>
    <row r="42" ht="15">
      <c r="H42" s="332"/>
    </row>
  </sheetData>
  <sheetProtection/>
  <mergeCells count="38">
    <mergeCell ref="H36:I36"/>
    <mergeCell ref="H37:I37"/>
    <mergeCell ref="M8:N8"/>
    <mergeCell ref="O8:P8"/>
    <mergeCell ref="I11:K11"/>
    <mergeCell ref="L11:L12"/>
    <mergeCell ref="H34:I34"/>
    <mergeCell ref="H35:I35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E6:F7"/>
    <mergeCell ref="G6:G7"/>
    <mergeCell ref="H6:I7"/>
    <mergeCell ref="C6:D7"/>
    <mergeCell ref="C8:D8"/>
    <mergeCell ref="E8:F8"/>
    <mergeCell ref="H8:I8"/>
    <mergeCell ref="J8:K8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9" sqref="J29"/>
    </sheetView>
  </sheetViews>
  <sheetFormatPr defaultColWidth="9.140625" defaultRowHeight="12.75"/>
  <cols>
    <col min="1" max="1" width="9.140625" style="300" customWidth="1"/>
    <col min="2" max="6" width="9.421875" style="300" customWidth="1"/>
    <col min="7" max="9" width="10.140625" style="300" customWidth="1"/>
    <col min="10" max="10" width="10.57421875" style="300" customWidth="1"/>
    <col min="11" max="11" width="10.140625" style="300" customWidth="1"/>
    <col min="12" max="15" width="9.421875" style="300" customWidth="1"/>
    <col min="16" max="16" width="10.00390625" style="300" customWidth="1"/>
    <col min="17" max="17" width="9.140625" style="300" customWidth="1"/>
    <col min="18" max="18" width="22.8515625" style="300" customWidth="1"/>
    <col min="19" max="16384" width="9.140625" style="300" customWidth="1"/>
  </cols>
  <sheetData>
    <row r="1" spans="1:15" ht="15.75">
      <c r="A1" s="299" t="s">
        <v>248</v>
      </c>
      <c r="O1" s="299" t="s">
        <v>177</v>
      </c>
    </row>
    <row r="2" ht="15.75" thickBot="1"/>
    <row r="3" spans="1:16" ht="15">
      <c r="A3" s="592" t="s">
        <v>173</v>
      </c>
      <c r="B3" s="595" t="s">
        <v>174</v>
      </c>
      <c r="C3" s="596"/>
      <c r="D3" s="596"/>
      <c r="E3" s="596"/>
      <c r="F3" s="597"/>
      <c r="G3" s="595" t="s">
        <v>175</v>
      </c>
      <c r="H3" s="596"/>
      <c r="I3" s="596"/>
      <c r="J3" s="596"/>
      <c r="K3" s="597"/>
      <c r="L3" s="595" t="s">
        <v>120</v>
      </c>
      <c r="M3" s="596"/>
      <c r="N3" s="596"/>
      <c r="O3" s="596"/>
      <c r="P3" s="597"/>
    </row>
    <row r="4" spans="1:16" ht="15">
      <c r="A4" s="593"/>
      <c r="B4" s="589" t="s">
        <v>176</v>
      </c>
      <c r="C4" s="591" t="s">
        <v>139</v>
      </c>
      <c r="D4" s="591"/>
      <c r="E4" s="591"/>
      <c r="F4" s="587" t="s">
        <v>70</v>
      </c>
      <c r="G4" s="589" t="s">
        <v>176</v>
      </c>
      <c r="H4" s="591" t="s">
        <v>139</v>
      </c>
      <c r="I4" s="591"/>
      <c r="J4" s="591"/>
      <c r="K4" s="587" t="s">
        <v>70</v>
      </c>
      <c r="L4" s="589" t="s">
        <v>176</v>
      </c>
      <c r="M4" s="591" t="s">
        <v>139</v>
      </c>
      <c r="N4" s="591"/>
      <c r="O4" s="591"/>
      <c r="P4" s="587" t="s">
        <v>70</v>
      </c>
    </row>
    <row r="5" spans="1:16" ht="15.75" thickBot="1">
      <c r="A5" s="594"/>
      <c r="B5" s="590"/>
      <c r="C5" s="301" t="s">
        <v>138</v>
      </c>
      <c r="D5" s="301" t="s">
        <v>131</v>
      </c>
      <c r="E5" s="301" t="s">
        <v>47</v>
      </c>
      <c r="F5" s="588"/>
      <c r="G5" s="590"/>
      <c r="H5" s="301" t="s">
        <v>138</v>
      </c>
      <c r="I5" s="301" t="s">
        <v>131</v>
      </c>
      <c r="J5" s="301" t="s">
        <v>47</v>
      </c>
      <c r="K5" s="588"/>
      <c r="L5" s="590"/>
      <c r="M5" s="301" t="s">
        <v>138</v>
      </c>
      <c r="N5" s="301" t="s">
        <v>131</v>
      </c>
      <c r="O5" s="301" t="s">
        <v>47</v>
      </c>
      <c r="P5" s="588"/>
    </row>
    <row r="6" spans="1:18" ht="19.5" customHeight="1">
      <c r="A6" s="334">
        <v>40634</v>
      </c>
      <c r="B6" s="302">
        <v>-1.97656</v>
      </c>
      <c r="C6" s="303">
        <v>2.94261</v>
      </c>
      <c r="D6" s="303">
        <v>-1.2104</v>
      </c>
      <c r="E6" s="303">
        <f aca="true" t="shared" si="0" ref="E6:E15">SUM(C6:D6)</f>
        <v>1.7322100000000002</v>
      </c>
      <c r="F6" s="304">
        <f aca="true" t="shared" si="1" ref="F6:F15">E6+B6</f>
        <v>-0.24434999999999985</v>
      </c>
      <c r="G6" s="302">
        <v>-1.66443</v>
      </c>
      <c r="H6" s="303">
        <v>107.11331</v>
      </c>
      <c r="I6" s="303">
        <v>46.42013</v>
      </c>
      <c r="J6" s="303">
        <f aca="true" t="shared" si="2" ref="J6:J15">SUM(H6:I6)</f>
        <v>153.53343999999998</v>
      </c>
      <c r="K6" s="304">
        <f aca="true" t="shared" si="3" ref="K6:K15">J6+G6</f>
        <v>151.86900999999997</v>
      </c>
      <c r="L6" s="431"/>
      <c r="M6" s="305">
        <f aca="true" t="shared" si="4" ref="M6:P10">C6/H6*100</f>
        <v>2.747193602737139</v>
      </c>
      <c r="N6" s="305">
        <f t="shared" si="4"/>
        <v>-2.607489466315583</v>
      </c>
      <c r="O6" s="305">
        <f t="shared" si="4"/>
        <v>1.1282297849901626</v>
      </c>
      <c r="P6" s="306">
        <f t="shared" si="4"/>
        <v>-0.16089523464991304</v>
      </c>
      <c r="R6" s="300">
        <f>H6*100000</f>
        <v>10711331</v>
      </c>
    </row>
    <row r="7" spans="1:16" ht="19.5" customHeight="1">
      <c r="A7" s="335">
        <v>40664</v>
      </c>
      <c r="B7" s="307">
        <v>-1.64954</v>
      </c>
      <c r="C7" s="308">
        <v>8.98037</v>
      </c>
      <c r="D7" s="308">
        <v>-0.74986</v>
      </c>
      <c r="E7" s="308">
        <f t="shared" si="0"/>
        <v>8.23051</v>
      </c>
      <c r="F7" s="309">
        <f t="shared" si="1"/>
        <v>6.580970000000001</v>
      </c>
      <c r="G7" s="307">
        <v>-1.42817</v>
      </c>
      <c r="H7" s="308">
        <v>108.74655</v>
      </c>
      <c r="I7" s="308">
        <v>24.69854</v>
      </c>
      <c r="J7" s="308">
        <f t="shared" si="2"/>
        <v>133.44509</v>
      </c>
      <c r="K7" s="309">
        <f t="shared" si="3"/>
        <v>132.01692</v>
      </c>
      <c r="L7" s="432"/>
      <c r="M7" s="310">
        <f t="shared" si="4"/>
        <v>8.258073474514823</v>
      </c>
      <c r="N7" s="310">
        <f t="shared" si="4"/>
        <v>-3.036049904164375</v>
      </c>
      <c r="O7" s="310">
        <f t="shared" si="4"/>
        <v>6.167712877259104</v>
      </c>
      <c r="P7" s="311">
        <f t="shared" si="4"/>
        <v>4.98494435410249</v>
      </c>
    </row>
    <row r="8" spans="1:16" ht="19.5" customHeight="1">
      <c r="A8" s="335">
        <v>40695</v>
      </c>
      <c r="B8" s="307">
        <v>-1.37488</v>
      </c>
      <c r="C8" s="308">
        <v>9.68263</v>
      </c>
      <c r="D8" s="308">
        <v>-0.70836</v>
      </c>
      <c r="E8" s="308">
        <f t="shared" si="0"/>
        <v>8.974269999999999</v>
      </c>
      <c r="F8" s="309">
        <f t="shared" si="1"/>
        <v>7.599389999999999</v>
      </c>
      <c r="G8" s="307">
        <v>-1.19616</v>
      </c>
      <c r="H8" s="308">
        <v>97.17405</v>
      </c>
      <c r="I8" s="308">
        <v>16.92081</v>
      </c>
      <c r="J8" s="308">
        <f t="shared" si="2"/>
        <v>114.09486</v>
      </c>
      <c r="K8" s="309">
        <f t="shared" si="3"/>
        <v>112.89869999999999</v>
      </c>
      <c r="L8" s="432"/>
      <c r="M8" s="310">
        <f t="shared" si="4"/>
        <v>9.964213696969509</v>
      </c>
      <c r="N8" s="310">
        <f t="shared" si="4"/>
        <v>-4.186324413547578</v>
      </c>
      <c r="O8" s="310">
        <f t="shared" si="4"/>
        <v>7.8656216415007645</v>
      </c>
      <c r="P8" s="311">
        <f t="shared" si="4"/>
        <v>6.7311581089950545</v>
      </c>
    </row>
    <row r="9" spans="1:16" ht="19.5" customHeight="1">
      <c r="A9" s="335">
        <v>40725</v>
      </c>
      <c r="B9" s="307">
        <v>-1.40813</v>
      </c>
      <c r="C9" s="308">
        <v>16.63965</v>
      </c>
      <c r="D9" s="308">
        <v>-2.42414</v>
      </c>
      <c r="E9" s="308">
        <f t="shared" si="0"/>
        <v>14.21551</v>
      </c>
      <c r="F9" s="309">
        <f t="shared" si="1"/>
        <v>12.80738</v>
      </c>
      <c r="G9" s="307">
        <v>-1.17039</v>
      </c>
      <c r="H9" s="308">
        <v>86.44084</v>
      </c>
      <c r="I9" s="308">
        <v>-19.71096</v>
      </c>
      <c r="J9" s="308">
        <f t="shared" si="2"/>
        <v>66.72988</v>
      </c>
      <c r="K9" s="309">
        <f t="shared" si="3"/>
        <v>65.55949</v>
      </c>
      <c r="L9" s="432"/>
      <c r="M9" s="310">
        <f t="shared" si="4"/>
        <v>19.249755092615946</v>
      </c>
      <c r="N9" s="310">
        <f t="shared" si="4"/>
        <v>12.298437011692986</v>
      </c>
      <c r="O9" s="310">
        <f t="shared" si="4"/>
        <v>21.303065433356096</v>
      </c>
      <c r="P9" s="311">
        <f t="shared" si="4"/>
        <v>19.535508894288228</v>
      </c>
    </row>
    <row r="10" spans="1:16" ht="19.5" customHeight="1">
      <c r="A10" s="335">
        <v>40756</v>
      </c>
      <c r="B10" s="307">
        <v>-1.30176</v>
      </c>
      <c r="C10" s="308">
        <v>3.68143</v>
      </c>
      <c r="D10" s="308">
        <v>-1.0644</v>
      </c>
      <c r="E10" s="308">
        <f t="shared" si="0"/>
        <v>2.61703</v>
      </c>
      <c r="F10" s="309">
        <f t="shared" si="1"/>
        <v>1.3152700000000002</v>
      </c>
      <c r="G10" s="307">
        <v>-1.12752</v>
      </c>
      <c r="H10" s="308">
        <v>53.1877</v>
      </c>
      <c r="I10" s="308">
        <v>20.20849</v>
      </c>
      <c r="J10" s="308">
        <f t="shared" si="2"/>
        <v>73.39619</v>
      </c>
      <c r="K10" s="309">
        <f t="shared" si="3"/>
        <v>72.26867</v>
      </c>
      <c r="L10" s="432"/>
      <c r="M10" s="310">
        <f t="shared" si="4"/>
        <v>6.921581493465595</v>
      </c>
      <c r="N10" s="310">
        <f t="shared" si="4"/>
        <v>-5.267093187071374</v>
      </c>
      <c r="O10" s="310">
        <f t="shared" si="4"/>
        <v>3.565621049266999</v>
      </c>
      <c r="P10" s="311">
        <f t="shared" si="4"/>
        <v>1.8199726105378722</v>
      </c>
    </row>
    <row r="11" spans="1:16" ht="19.5" customHeight="1">
      <c r="A11" s="335">
        <v>40787</v>
      </c>
      <c r="B11" s="318">
        <v>-7.76006</v>
      </c>
      <c r="C11" s="319">
        <v>4.49414</v>
      </c>
      <c r="D11" s="319">
        <v>-0.65951</v>
      </c>
      <c r="E11" s="308">
        <f>SUM(C11:D11)</f>
        <v>3.8346299999999998</v>
      </c>
      <c r="F11" s="309">
        <f>E11+B11</f>
        <v>-3.9254300000000004</v>
      </c>
      <c r="G11" s="318">
        <v>-7.52167</v>
      </c>
      <c r="H11" s="319">
        <v>77.57308</v>
      </c>
      <c r="I11" s="319">
        <v>1.46836</v>
      </c>
      <c r="J11" s="308">
        <f>SUM(H11:I11)</f>
        <v>79.04144000000001</v>
      </c>
      <c r="K11" s="309">
        <f>J11+G11</f>
        <v>71.51977000000001</v>
      </c>
      <c r="L11" s="432"/>
      <c r="M11" s="310">
        <f aca="true" t="shared" si="5" ref="M11:P15">C11/H11*100</f>
        <v>5.79342730751441</v>
      </c>
      <c r="N11" s="310">
        <f t="shared" si="5"/>
        <v>-44.914734806178316</v>
      </c>
      <c r="O11" s="310">
        <f t="shared" si="5"/>
        <v>4.851417180658651</v>
      </c>
      <c r="P11" s="311">
        <f t="shared" si="5"/>
        <v>-5.488594272604623</v>
      </c>
    </row>
    <row r="12" spans="1:16" ht="19.5" customHeight="1">
      <c r="A12" s="335">
        <v>40817</v>
      </c>
      <c r="B12" s="318">
        <v>-1.34409</v>
      </c>
      <c r="C12" s="319">
        <v>6.37972</v>
      </c>
      <c r="D12" s="319">
        <v>-2.3709</v>
      </c>
      <c r="E12" s="308">
        <f t="shared" si="0"/>
        <v>4.00882</v>
      </c>
      <c r="F12" s="309">
        <f t="shared" si="1"/>
        <v>2.66473</v>
      </c>
      <c r="G12" s="318">
        <v>-1.24801</v>
      </c>
      <c r="H12" s="319">
        <v>77.42627</v>
      </c>
      <c r="I12" s="319">
        <v>0.48203</v>
      </c>
      <c r="J12" s="308">
        <f t="shared" si="2"/>
        <v>77.9083</v>
      </c>
      <c r="K12" s="309">
        <f t="shared" si="3"/>
        <v>76.66029</v>
      </c>
      <c r="L12" s="432"/>
      <c r="M12" s="310">
        <f t="shared" si="5"/>
        <v>8.239735686608691</v>
      </c>
      <c r="N12" s="310">
        <f t="shared" si="5"/>
        <v>-491.85735327676696</v>
      </c>
      <c r="O12" s="310">
        <f t="shared" si="5"/>
        <v>5.145562154481615</v>
      </c>
      <c r="P12" s="311">
        <f t="shared" si="5"/>
        <v>3.4760238971180515</v>
      </c>
    </row>
    <row r="13" spans="1:16" ht="19.5" customHeight="1">
      <c r="A13" s="335">
        <v>40848</v>
      </c>
      <c r="B13" s="318">
        <v>-2.3492</v>
      </c>
      <c r="C13" s="322">
        <v>4.23289</v>
      </c>
      <c r="D13" s="322">
        <v>-1.67375</v>
      </c>
      <c r="E13" s="308">
        <f t="shared" si="0"/>
        <v>2.55914</v>
      </c>
      <c r="F13" s="309">
        <f t="shared" si="1"/>
        <v>0.20994000000000002</v>
      </c>
      <c r="G13" s="318">
        <v>-2.29727</v>
      </c>
      <c r="H13" s="322">
        <v>65.42741</v>
      </c>
      <c r="I13" s="322">
        <v>-31.3511</v>
      </c>
      <c r="J13" s="308">
        <f t="shared" si="2"/>
        <v>34.07630999999999</v>
      </c>
      <c r="K13" s="309">
        <f t="shared" si="3"/>
        <v>31.77903999999999</v>
      </c>
      <c r="L13" s="432"/>
      <c r="M13" s="310">
        <f t="shared" si="5"/>
        <v>6.469597375167381</v>
      </c>
      <c r="N13" s="310">
        <f t="shared" si="5"/>
        <v>5.338728146699797</v>
      </c>
      <c r="O13" s="310">
        <f t="shared" si="5"/>
        <v>7.510026760526597</v>
      </c>
      <c r="P13" s="311">
        <f t="shared" si="5"/>
        <v>0.6606241094759315</v>
      </c>
    </row>
    <row r="14" spans="1:16" ht="19.5" customHeight="1">
      <c r="A14" s="335">
        <v>40878</v>
      </c>
      <c r="B14" s="318">
        <v>-3.04709</v>
      </c>
      <c r="C14" s="322">
        <v>4.55472</v>
      </c>
      <c r="D14" s="322">
        <v>-1.45005</v>
      </c>
      <c r="E14" s="308">
        <f t="shared" si="0"/>
        <v>3.1046699999999996</v>
      </c>
      <c r="F14" s="309">
        <f t="shared" si="1"/>
        <v>0.05757999999999974</v>
      </c>
      <c r="G14" s="318">
        <v>-2.76877</v>
      </c>
      <c r="H14" s="322">
        <v>79.98391</v>
      </c>
      <c r="I14" s="322">
        <v>10.43437</v>
      </c>
      <c r="J14" s="308">
        <f t="shared" si="2"/>
        <v>90.41828</v>
      </c>
      <c r="K14" s="309">
        <f t="shared" si="3"/>
        <v>87.64950999999999</v>
      </c>
      <c r="L14" s="432"/>
      <c r="M14" s="310">
        <f t="shared" si="5"/>
        <v>5.694545315426565</v>
      </c>
      <c r="N14" s="310">
        <f t="shared" si="5"/>
        <v>-13.89686200508512</v>
      </c>
      <c r="O14" s="310">
        <f t="shared" si="5"/>
        <v>3.433675137372664</v>
      </c>
      <c r="P14" s="311">
        <f t="shared" si="5"/>
        <v>0.0656934648008868</v>
      </c>
    </row>
    <row r="15" spans="1:16" ht="19.5" customHeight="1" hidden="1">
      <c r="A15" s="335">
        <v>40909</v>
      </c>
      <c r="B15" s="318">
        <v>-2.5079</v>
      </c>
      <c r="C15" s="322">
        <v>8.61644</v>
      </c>
      <c r="D15" s="322">
        <v>0.13112</v>
      </c>
      <c r="E15" s="322">
        <f t="shared" si="0"/>
        <v>8.74756</v>
      </c>
      <c r="F15" s="323">
        <f t="shared" si="1"/>
        <v>6.239660000000001</v>
      </c>
      <c r="G15" s="318">
        <v>-2.92349</v>
      </c>
      <c r="H15" s="322">
        <v>89.177</v>
      </c>
      <c r="I15" s="322">
        <v>9.56287</v>
      </c>
      <c r="J15" s="322">
        <f t="shared" si="2"/>
        <v>98.73987000000001</v>
      </c>
      <c r="K15" s="323">
        <f t="shared" si="3"/>
        <v>95.81638000000001</v>
      </c>
      <c r="L15" s="433"/>
      <c r="M15" s="324">
        <f t="shared" si="5"/>
        <v>9.662177467284165</v>
      </c>
      <c r="N15" s="324">
        <f t="shared" si="5"/>
        <v>1.3711364893593658</v>
      </c>
      <c r="O15" s="324">
        <f t="shared" si="5"/>
        <v>8.859197404250176</v>
      </c>
      <c r="P15" s="325">
        <f t="shared" si="5"/>
        <v>6.5121015843011385</v>
      </c>
    </row>
    <row r="16" spans="1:16" ht="19.5" customHeight="1" hidden="1">
      <c r="A16" s="335">
        <v>40940</v>
      </c>
      <c r="B16" s="318">
        <v>-1.01804</v>
      </c>
      <c r="C16" s="322">
        <v>3.58288</v>
      </c>
      <c r="D16" s="322">
        <v>-2.43655</v>
      </c>
      <c r="E16" s="322">
        <f>SUM(C16:D16)</f>
        <v>1.1463299999999998</v>
      </c>
      <c r="F16" s="323">
        <f>E16+B16</f>
        <v>0.1282899999999998</v>
      </c>
      <c r="G16" s="318">
        <v>-0.80931</v>
      </c>
      <c r="H16" s="322">
        <v>91.36996</v>
      </c>
      <c r="I16" s="322">
        <v>-7.85677</v>
      </c>
      <c r="J16" s="322">
        <f>SUM(H16:I16)</f>
        <v>83.51319000000001</v>
      </c>
      <c r="K16" s="323">
        <f>J16+G16</f>
        <v>82.70388000000001</v>
      </c>
      <c r="L16" s="433"/>
      <c r="M16" s="324">
        <f aca="true" t="shared" si="6" ref="M16:P17">C16/H16*100</f>
        <v>3.9212887911957055</v>
      </c>
      <c r="N16" s="324">
        <f t="shared" si="6"/>
        <v>31.012108029126473</v>
      </c>
      <c r="O16" s="324">
        <f t="shared" si="6"/>
        <v>1.3726334726286946</v>
      </c>
      <c r="P16" s="325">
        <f t="shared" si="6"/>
        <v>0.15511968725046488</v>
      </c>
    </row>
    <row r="17" spans="1:16" ht="19.5" customHeight="1" hidden="1">
      <c r="A17" s="335">
        <v>40969</v>
      </c>
      <c r="B17" s="318">
        <v>-1.83448</v>
      </c>
      <c r="C17" s="322">
        <v>8.61637</v>
      </c>
      <c r="D17" s="322">
        <v>-0.99843</v>
      </c>
      <c r="E17" s="322">
        <f>SUM(C17:D17)</f>
        <v>7.61794</v>
      </c>
      <c r="F17" s="323">
        <f>E17+B17</f>
        <v>5.78346</v>
      </c>
      <c r="G17" s="318">
        <v>-1.5762</v>
      </c>
      <c r="H17" s="322">
        <v>72.64889</v>
      </c>
      <c r="I17" s="322">
        <v>7.41502</v>
      </c>
      <c r="J17" s="322">
        <f>SUM(H17:I17)</f>
        <v>80.06390999999999</v>
      </c>
      <c r="K17" s="323">
        <f>J17+G17</f>
        <v>78.48770999999999</v>
      </c>
      <c r="L17" s="433"/>
      <c r="M17" s="324">
        <f t="shared" si="6"/>
        <v>11.860291327231566</v>
      </c>
      <c r="N17" s="324">
        <f t="shared" si="6"/>
        <v>-13.464967053359263</v>
      </c>
      <c r="O17" s="324">
        <f t="shared" si="6"/>
        <v>9.514823845100747</v>
      </c>
      <c r="P17" s="325">
        <f t="shared" si="6"/>
        <v>7.368618602836037</v>
      </c>
    </row>
    <row r="18" spans="1:16" s="299" customFormat="1" ht="19.5" customHeight="1" thickBot="1">
      <c r="A18" s="336" t="s">
        <v>47</v>
      </c>
      <c r="B18" s="312">
        <f aca="true" t="shared" si="7" ref="B18:K18">SUM(B6:B14)</f>
        <v>-22.21131</v>
      </c>
      <c r="C18" s="313">
        <f t="shared" si="7"/>
        <v>61.58816</v>
      </c>
      <c r="D18" s="313">
        <f t="shared" si="7"/>
        <v>-12.31137</v>
      </c>
      <c r="E18" s="313">
        <f t="shared" si="7"/>
        <v>49.27679</v>
      </c>
      <c r="F18" s="314">
        <f t="shared" si="7"/>
        <v>27.065479999999994</v>
      </c>
      <c r="G18" s="312">
        <f t="shared" si="7"/>
        <v>-20.42239</v>
      </c>
      <c r="H18" s="313">
        <f t="shared" si="7"/>
        <v>753.07312</v>
      </c>
      <c r="I18" s="313">
        <f t="shared" si="7"/>
        <v>69.57067</v>
      </c>
      <c r="J18" s="313">
        <f t="shared" si="7"/>
        <v>822.6437899999999</v>
      </c>
      <c r="K18" s="314">
        <f t="shared" si="7"/>
        <v>802.2214</v>
      </c>
      <c r="L18" s="434"/>
      <c r="M18" s="315">
        <f>C18/H18*100</f>
        <v>8.178244364903104</v>
      </c>
      <c r="N18" s="315">
        <f>D18/I18*100</f>
        <v>-17.696207324149675</v>
      </c>
      <c r="O18" s="315">
        <f>E18/J18*100</f>
        <v>5.990051903266663</v>
      </c>
      <c r="P18" s="316">
        <f>F18/K18*100</f>
        <v>3.3738167543274202</v>
      </c>
    </row>
    <row r="19" spans="1:16" s="299" customFormat="1" ht="19.5" customHeight="1">
      <c r="A19" s="334">
        <v>41000</v>
      </c>
      <c r="B19" s="318">
        <v>-2.84062</v>
      </c>
      <c r="C19" s="319">
        <v>-3.58766</v>
      </c>
      <c r="D19" s="319">
        <v>-3.59284</v>
      </c>
      <c r="E19" s="319">
        <f aca="true" t="shared" si="8" ref="E19:E27">SUM(C19:D19)</f>
        <v>-7.1805</v>
      </c>
      <c r="F19" s="379">
        <f aca="true" t="shared" si="9" ref="F19:F27">E19+B19</f>
        <v>-10.02112</v>
      </c>
      <c r="G19" s="318">
        <v>-2.75705</v>
      </c>
      <c r="H19" s="319">
        <v>62.10981</v>
      </c>
      <c r="I19" s="319">
        <v>-1.55431</v>
      </c>
      <c r="J19" s="319">
        <f aca="true" t="shared" si="10" ref="J19:J27">SUM(H19:I19)</f>
        <v>60.5555</v>
      </c>
      <c r="K19" s="379">
        <f aca="true" t="shared" si="11" ref="K19:K27">J19+G19</f>
        <v>57.79845</v>
      </c>
      <c r="L19" s="433"/>
      <c r="M19" s="435"/>
      <c r="N19" s="435"/>
      <c r="O19" s="435"/>
      <c r="P19" s="436"/>
    </row>
    <row r="20" spans="1:16" s="299" customFormat="1" ht="19.5" customHeight="1">
      <c r="A20" s="335">
        <v>41030</v>
      </c>
      <c r="B20" s="318">
        <v>-3.64006</v>
      </c>
      <c r="C20" s="319">
        <v>-0.22519</v>
      </c>
      <c r="D20" s="319">
        <v>-0.5929</v>
      </c>
      <c r="E20" s="319">
        <f t="shared" si="8"/>
        <v>-0.81809</v>
      </c>
      <c r="F20" s="379">
        <f t="shared" si="9"/>
        <v>-4.45815</v>
      </c>
      <c r="G20" s="318">
        <v>-3.5875</v>
      </c>
      <c r="H20" s="319">
        <v>21.20285</v>
      </c>
      <c r="I20" s="319">
        <v>11.13474</v>
      </c>
      <c r="J20" s="319">
        <f t="shared" si="10"/>
        <v>32.337590000000006</v>
      </c>
      <c r="K20" s="379">
        <f t="shared" si="11"/>
        <v>28.750090000000007</v>
      </c>
      <c r="L20" s="433"/>
      <c r="M20" s="435"/>
      <c r="N20" s="435"/>
      <c r="O20" s="435"/>
      <c r="P20" s="436"/>
    </row>
    <row r="21" spans="1:16" s="299" customFormat="1" ht="19.5" customHeight="1">
      <c r="A21" s="335">
        <v>41061</v>
      </c>
      <c r="B21" s="318">
        <v>-1.09442</v>
      </c>
      <c r="C21" s="319">
        <v>6.5999</v>
      </c>
      <c r="D21" s="319">
        <v>-0.95842</v>
      </c>
      <c r="E21" s="319">
        <f t="shared" si="8"/>
        <v>5.64148</v>
      </c>
      <c r="F21" s="379">
        <f t="shared" si="9"/>
        <v>4.54706</v>
      </c>
      <c r="G21" s="318">
        <v>-1.17242</v>
      </c>
      <c r="H21" s="319">
        <v>64.93745</v>
      </c>
      <c r="I21" s="319">
        <v>-44.59592</v>
      </c>
      <c r="J21" s="319">
        <f t="shared" si="10"/>
        <v>20.34153</v>
      </c>
      <c r="K21" s="379">
        <f t="shared" si="11"/>
        <v>19.16911</v>
      </c>
      <c r="L21" s="433"/>
      <c r="M21" s="324">
        <f>C21/H21*100</f>
        <v>10.163472695647888</v>
      </c>
      <c r="N21" s="324">
        <f>D21/I21*100</f>
        <v>2.149120367961912</v>
      </c>
      <c r="O21" s="324">
        <f>E21/J21*100</f>
        <v>27.733803701098196</v>
      </c>
      <c r="P21" s="325">
        <f>F21/K21*100</f>
        <v>23.720767422170358</v>
      </c>
    </row>
    <row r="22" spans="1:16" s="299" customFormat="1" ht="19.5" customHeight="1">
      <c r="A22" s="335">
        <v>41091</v>
      </c>
      <c r="B22" s="318">
        <v>-0.94857</v>
      </c>
      <c r="C22" s="319">
        <v>6.81866</v>
      </c>
      <c r="D22" s="319">
        <v>-2.10314</v>
      </c>
      <c r="E22" s="319">
        <f t="shared" si="8"/>
        <v>4.715520000000001</v>
      </c>
      <c r="F22" s="379">
        <f t="shared" si="9"/>
        <v>3.7669500000000005</v>
      </c>
      <c r="G22" s="318">
        <v>-0.72608</v>
      </c>
      <c r="H22" s="319">
        <v>24.69893</v>
      </c>
      <c r="I22" s="319">
        <v>-203.53081</v>
      </c>
      <c r="J22" s="319">
        <f t="shared" si="10"/>
        <v>-178.83188</v>
      </c>
      <c r="K22" s="379">
        <f t="shared" si="11"/>
        <v>-179.55796</v>
      </c>
      <c r="L22" s="433"/>
      <c r="M22" s="310">
        <f>C22/H22*100</f>
        <v>27.60710686657276</v>
      </c>
      <c r="N22" s="435"/>
      <c r="O22" s="435"/>
      <c r="P22" s="436"/>
    </row>
    <row r="23" spans="1:16" s="299" customFormat="1" ht="19.5" customHeight="1">
      <c r="A23" s="335">
        <v>41122</v>
      </c>
      <c r="B23" s="318">
        <v>-1.24371</v>
      </c>
      <c r="C23" s="319">
        <v>5.82018</v>
      </c>
      <c r="D23" s="319">
        <v>-0.90656</v>
      </c>
      <c r="E23" s="319">
        <f t="shared" si="8"/>
        <v>4.91362</v>
      </c>
      <c r="F23" s="379">
        <f t="shared" si="9"/>
        <v>3.66991</v>
      </c>
      <c r="G23" s="318">
        <v>-1.1894</v>
      </c>
      <c r="H23" s="319">
        <v>-65.23839</v>
      </c>
      <c r="I23" s="319">
        <v>13.48999</v>
      </c>
      <c r="J23" s="319">
        <f t="shared" si="10"/>
        <v>-51.7484</v>
      </c>
      <c r="K23" s="379">
        <f t="shared" si="11"/>
        <v>-52.937799999999996</v>
      </c>
      <c r="L23" s="433"/>
      <c r="M23" s="310"/>
      <c r="N23" s="435"/>
      <c r="O23" s="435"/>
      <c r="P23" s="436"/>
    </row>
    <row r="24" spans="1:16" s="299" customFormat="1" ht="19.5" customHeight="1">
      <c r="A24" s="335">
        <v>41153</v>
      </c>
      <c r="B24" s="318">
        <v>-1.27945</v>
      </c>
      <c r="C24" s="319">
        <v>4.54957</v>
      </c>
      <c r="D24" s="319">
        <v>-0.61941</v>
      </c>
      <c r="E24" s="319">
        <f>SUM(C24:D24)</f>
        <v>3.93016</v>
      </c>
      <c r="F24" s="379">
        <f>E24+B24</f>
        <v>2.65071</v>
      </c>
      <c r="G24" s="318">
        <v>-1.25615</v>
      </c>
      <c r="H24" s="319">
        <v>-14.21437</v>
      </c>
      <c r="I24" s="319">
        <v>-3.24297</v>
      </c>
      <c r="J24" s="319">
        <f>SUM(H24:I24)</f>
        <v>-17.457340000000002</v>
      </c>
      <c r="K24" s="379">
        <f>J24+G24</f>
        <v>-18.713490000000004</v>
      </c>
      <c r="L24" s="433"/>
      <c r="M24" s="310"/>
      <c r="N24" s="435"/>
      <c r="O24" s="435"/>
      <c r="P24" s="436"/>
    </row>
    <row r="25" spans="1:16" s="299" customFormat="1" ht="19.5" customHeight="1">
      <c r="A25" s="335">
        <v>41183</v>
      </c>
      <c r="B25" s="318">
        <v>-1.46914</v>
      </c>
      <c r="C25" s="319">
        <v>4.38323</v>
      </c>
      <c r="D25" s="319">
        <v>-0.81175</v>
      </c>
      <c r="E25" s="319">
        <f>SUM(C25:D25)</f>
        <v>3.57148</v>
      </c>
      <c r="F25" s="379">
        <f>E25+B25</f>
        <v>2.1023400000000003</v>
      </c>
      <c r="G25" s="318">
        <v>-1.38132</v>
      </c>
      <c r="H25" s="319">
        <v>5.97524</v>
      </c>
      <c r="I25" s="319">
        <v>-29.35126</v>
      </c>
      <c r="J25" s="319">
        <f>SUM(H25:I25)</f>
        <v>-23.37602</v>
      </c>
      <c r="K25" s="379">
        <f>J25+G25</f>
        <v>-24.75734</v>
      </c>
      <c r="L25" s="433"/>
      <c r="M25" s="310">
        <f>C25/H25*100</f>
        <v>73.35655136864794</v>
      </c>
      <c r="N25" s="435"/>
      <c r="O25" s="435"/>
      <c r="P25" s="436"/>
    </row>
    <row r="26" spans="1:16" s="299" customFormat="1" ht="19.5" customHeight="1">
      <c r="A26" s="335">
        <v>41214</v>
      </c>
      <c r="B26" s="318">
        <v>-0.80704</v>
      </c>
      <c r="C26" s="319">
        <v>-0.30571</v>
      </c>
      <c r="D26" s="319">
        <v>-0.5045</v>
      </c>
      <c r="E26" s="319">
        <f>SUM(C26:D26)</f>
        <v>-0.8102099999999999</v>
      </c>
      <c r="F26" s="379">
        <f>E26+B26</f>
        <v>-1.6172499999999999</v>
      </c>
      <c r="G26" s="318">
        <v>-0.76737</v>
      </c>
      <c r="H26" s="319">
        <v>-90.19644</v>
      </c>
      <c r="I26" s="319">
        <v>-46.26362</v>
      </c>
      <c r="J26" s="319">
        <f>SUM(H26:I26)</f>
        <v>-136.46006</v>
      </c>
      <c r="K26" s="379">
        <f>J26+G26</f>
        <v>-137.22743</v>
      </c>
      <c r="L26" s="433"/>
      <c r="M26" s="310">
        <f>C26/H26*100</f>
        <v>0.3389379891268436</v>
      </c>
      <c r="N26" s="435"/>
      <c r="O26" s="435"/>
      <c r="P26" s="436"/>
    </row>
    <row r="27" spans="1:16" ht="19.5" customHeight="1">
      <c r="A27" s="335">
        <v>41244</v>
      </c>
      <c r="B27" s="307">
        <f>('Anne-8'!D42)/100000</f>
        <v>-0.94327</v>
      </c>
      <c r="C27" s="308">
        <f>('Anne-6'!D43)/100000</f>
        <v>1.78405</v>
      </c>
      <c r="D27" s="308">
        <f>'Anne-7'!F42/100000</f>
        <v>-1.65392</v>
      </c>
      <c r="E27" s="308">
        <f t="shared" si="8"/>
        <v>0.13012999999999986</v>
      </c>
      <c r="F27" s="309">
        <f t="shared" si="9"/>
        <v>-0.8131400000000002</v>
      </c>
      <c r="G27" s="307">
        <f>('Anne-8'!O42)/100000</f>
        <v>-0.83371</v>
      </c>
      <c r="H27" s="308">
        <f>('Anne-6'!Z43)/100000</f>
        <v>-66.62281</v>
      </c>
      <c r="I27" s="308">
        <f>('Anne-7'!N42)/100000</f>
        <v>-192.159</v>
      </c>
      <c r="J27" s="308">
        <f t="shared" si="10"/>
        <v>-258.78181</v>
      </c>
      <c r="K27" s="309">
        <f t="shared" si="11"/>
        <v>-259.61552</v>
      </c>
      <c r="L27" s="432"/>
      <c r="M27" s="455"/>
      <c r="N27" s="435"/>
      <c r="O27" s="435"/>
      <c r="P27" s="436"/>
    </row>
    <row r="28" spans="1:16" s="299" customFormat="1" ht="19.5" customHeight="1" thickBot="1">
      <c r="A28" s="337" t="s">
        <v>47</v>
      </c>
      <c r="B28" s="312">
        <f>SUM(B19:B27)</f>
        <v>-14.26628</v>
      </c>
      <c r="C28" s="313">
        <f aca="true" t="shared" si="12" ref="C28:K28">SUM(C19:C27)</f>
        <v>25.83703</v>
      </c>
      <c r="D28" s="313">
        <f t="shared" si="12"/>
        <v>-11.74344</v>
      </c>
      <c r="E28" s="313">
        <f t="shared" si="12"/>
        <v>14.093589999999999</v>
      </c>
      <c r="F28" s="314">
        <f t="shared" si="12"/>
        <v>-0.1726899999999989</v>
      </c>
      <c r="G28" s="312">
        <f t="shared" si="12"/>
        <v>-13.671</v>
      </c>
      <c r="H28" s="313">
        <f t="shared" si="12"/>
        <v>-57.34773</v>
      </c>
      <c r="I28" s="313">
        <f t="shared" si="12"/>
        <v>-496.07316000000003</v>
      </c>
      <c r="J28" s="313">
        <f t="shared" si="12"/>
        <v>-553.4208900000001</v>
      </c>
      <c r="K28" s="314">
        <f t="shared" si="12"/>
        <v>-567.0918899999999</v>
      </c>
      <c r="L28" s="434"/>
      <c r="M28" s="456"/>
      <c r="N28" s="437"/>
      <c r="O28" s="437"/>
      <c r="P28" s="438"/>
    </row>
    <row r="29" spans="1:16" s="299" customFormat="1" ht="19.5" customHeight="1">
      <c r="A29" s="439"/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1"/>
      <c r="M29" s="441"/>
      <c r="N29" s="442"/>
      <c r="O29" s="442"/>
      <c r="P29" s="442"/>
    </row>
    <row r="30" ht="15.75">
      <c r="A30" s="299" t="s">
        <v>210</v>
      </c>
    </row>
    <row r="34" ht="15">
      <c r="H34" s="317"/>
    </row>
    <row r="39" ht="15">
      <c r="I39" s="327"/>
    </row>
  </sheetData>
  <sheetProtection/>
  <mergeCells count="13">
    <mergeCell ref="F4:F5"/>
    <mergeCell ref="G4:G5"/>
    <mergeCell ref="H4:J4"/>
    <mergeCell ref="K4:K5"/>
    <mergeCell ref="L4:L5"/>
    <mergeCell ref="M4:O4"/>
    <mergeCell ref="A3:A5"/>
    <mergeCell ref="B3:F3"/>
    <mergeCell ref="G3:K3"/>
    <mergeCell ref="L3:P3"/>
    <mergeCell ref="B4:B5"/>
    <mergeCell ref="C4:E4"/>
    <mergeCell ref="P4:P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60" workbookViewId="0" topLeftCell="A19">
      <selection activeCell="V50" sqref="V50"/>
    </sheetView>
  </sheetViews>
  <sheetFormatPr defaultColWidth="9.140625" defaultRowHeight="12.75"/>
  <cols>
    <col min="1" max="1" width="18.7109375" style="415" customWidth="1"/>
    <col min="2" max="2" width="10.140625" style="415" customWidth="1"/>
    <col min="3" max="3" width="10.28125" style="415" customWidth="1"/>
    <col min="4" max="4" width="11.00390625" style="415" customWidth="1"/>
    <col min="5" max="6" width="8.8515625" style="415" customWidth="1"/>
    <col min="7" max="7" width="7.7109375" style="415" customWidth="1"/>
    <col min="8" max="8" width="8.00390625" style="415" customWidth="1"/>
    <col min="9" max="9" width="7.57421875" style="415" customWidth="1"/>
    <col min="10" max="10" width="7.8515625" style="415" customWidth="1"/>
    <col min="11" max="11" width="9.00390625" style="415" customWidth="1"/>
    <col min="12" max="12" width="7.7109375" style="415" customWidth="1"/>
    <col min="13" max="13" width="9.00390625" style="415" customWidth="1"/>
    <col min="14" max="14" width="7.28125" style="415" customWidth="1"/>
    <col min="15" max="15" width="12.28125" style="415" customWidth="1"/>
    <col min="16" max="16384" width="9.140625" style="415" customWidth="1"/>
  </cols>
  <sheetData>
    <row r="1" spans="1:13" ht="15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 t="s">
        <v>206</v>
      </c>
      <c r="L1" s="333"/>
      <c r="M1" s="333"/>
    </row>
    <row r="2" spans="1:13" ht="15.75">
      <c r="A2" s="422" t="s">
        <v>234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9" ht="29.25" customHeight="1">
      <c r="A4" s="417" t="s">
        <v>202</v>
      </c>
      <c r="B4" s="418" t="s">
        <v>203</v>
      </c>
      <c r="C4" s="418" t="s">
        <v>204</v>
      </c>
      <c r="D4" s="418" t="s">
        <v>205</v>
      </c>
      <c r="F4" s="415" t="s">
        <v>67</v>
      </c>
      <c r="G4" s="415">
        <v>114.144058</v>
      </c>
      <c r="H4" s="415">
        <f>G4*I4%</f>
        <v>111.9296632748</v>
      </c>
      <c r="I4" s="415">
        <v>98.06</v>
      </c>
    </row>
    <row r="5" spans="1:9" ht="14.25">
      <c r="A5" s="3" t="s">
        <v>67</v>
      </c>
      <c r="B5" s="396">
        <v>114.144058</v>
      </c>
      <c r="C5" s="397">
        <v>111.9296632748</v>
      </c>
      <c r="D5" s="397">
        <f>C5/B5*100</f>
        <v>98.06</v>
      </c>
      <c r="F5" s="415" t="s">
        <v>199</v>
      </c>
      <c r="G5" s="415">
        <v>150.765055</v>
      </c>
      <c r="H5" s="415">
        <f aca="true" t="shared" si="0" ref="H5:H16">G5*I5%</f>
        <v>140.7994848645</v>
      </c>
      <c r="I5" s="415">
        <v>93.39</v>
      </c>
    </row>
    <row r="6" spans="1:9" ht="14.25">
      <c r="A6" s="3" t="s">
        <v>199</v>
      </c>
      <c r="B6" s="396">
        <v>150.765055</v>
      </c>
      <c r="C6" s="397">
        <v>140.7994848645</v>
      </c>
      <c r="D6" s="397">
        <f aca="true" t="shared" si="1" ref="D6:D18">C6/B6*100</f>
        <v>93.39</v>
      </c>
      <c r="F6" s="415" t="s">
        <v>75</v>
      </c>
      <c r="G6" s="415">
        <v>183.610883</v>
      </c>
      <c r="H6" s="415">
        <f t="shared" si="0"/>
        <v>171.3456760156</v>
      </c>
      <c r="I6" s="415">
        <v>93.32</v>
      </c>
    </row>
    <row r="7" spans="1:9" ht="14.25">
      <c r="A7" s="3" t="s">
        <v>75</v>
      </c>
      <c r="B7" s="396">
        <v>183.610883</v>
      </c>
      <c r="C7" s="397">
        <v>171.3456760156</v>
      </c>
      <c r="D7" s="397">
        <f t="shared" si="1"/>
        <v>93.32</v>
      </c>
      <c r="F7" s="415" t="s">
        <v>13</v>
      </c>
      <c r="G7" s="415">
        <v>134.11349</v>
      </c>
      <c r="H7" s="415">
        <f t="shared" si="0"/>
        <v>103.34785539400002</v>
      </c>
      <c r="I7" s="415">
        <v>77.06</v>
      </c>
    </row>
    <row r="8" spans="1:9" ht="14.25">
      <c r="A8" s="3" t="s">
        <v>65</v>
      </c>
      <c r="B8" s="396">
        <v>134.11349</v>
      </c>
      <c r="C8" s="397">
        <v>103.34785539400002</v>
      </c>
      <c r="D8" s="397">
        <f t="shared" si="1"/>
        <v>77.06</v>
      </c>
      <c r="F8" s="415" t="s">
        <v>71</v>
      </c>
      <c r="G8" s="415">
        <v>72.515165</v>
      </c>
      <c r="H8" s="415">
        <f t="shared" si="0"/>
        <v>47.74398463599999</v>
      </c>
      <c r="I8" s="415">
        <v>65.84</v>
      </c>
    </row>
    <row r="9" spans="1:9" ht="14.25">
      <c r="A9" s="3" t="s">
        <v>200</v>
      </c>
      <c r="B9" s="396">
        <v>72.515165</v>
      </c>
      <c r="C9" s="397">
        <v>47.74398463599999</v>
      </c>
      <c r="D9" s="397">
        <f t="shared" si="1"/>
        <v>65.84</v>
      </c>
      <c r="F9" s="415" t="s">
        <v>68</v>
      </c>
      <c r="G9" s="415">
        <v>65.323317</v>
      </c>
      <c r="H9" s="415">
        <f t="shared" si="0"/>
        <v>40.7813468031</v>
      </c>
      <c r="I9" s="415">
        <v>62.43</v>
      </c>
    </row>
    <row r="10" spans="1:9" ht="14.25">
      <c r="A10" s="3" t="s">
        <v>68</v>
      </c>
      <c r="B10" s="396">
        <v>65.323317</v>
      </c>
      <c r="C10" s="397">
        <v>40.7813468031</v>
      </c>
      <c r="D10" s="397">
        <f t="shared" si="1"/>
        <v>62.43</v>
      </c>
      <c r="F10" s="415" t="s">
        <v>134</v>
      </c>
      <c r="G10" s="415">
        <v>40.601992</v>
      </c>
      <c r="H10" s="415">
        <f t="shared" si="0"/>
        <v>23.5735165552</v>
      </c>
      <c r="I10" s="415">
        <v>58.06</v>
      </c>
    </row>
    <row r="11" spans="1:9" ht="14.25">
      <c r="A11" s="3" t="s">
        <v>134</v>
      </c>
      <c r="B11" s="396">
        <v>40.601992</v>
      </c>
      <c r="C11" s="397">
        <v>23.5735165552</v>
      </c>
      <c r="D11" s="397">
        <f>C11/B11*100</f>
        <v>58.06</v>
      </c>
      <c r="F11" s="415" t="s">
        <v>1</v>
      </c>
      <c r="G11" s="415">
        <v>99.909334</v>
      </c>
      <c r="H11" s="415">
        <f t="shared" si="0"/>
        <v>54.500541696999996</v>
      </c>
      <c r="I11" s="415">
        <v>54.55</v>
      </c>
    </row>
    <row r="12" spans="1:9" ht="14.25">
      <c r="A12" s="3" t="s">
        <v>1</v>
      </c>
      <c r="B12" s="396">
        <v>99.909334</v>
      </c>
      <c r="C12" s="397">
        <v>54.500541696999996</v>
      </c>
      <c r="D12" s="397">
        <f>C12/B12*100</f>
        <v>54.55</v>
      </c>
      <c r="F12" s="415" t="s">
        <v>191</v>
      </c>
      <c r="G12" s="415">
        <v>1.633414</v>
      </c>
      <c r="H12" s="415">
        <f t="shared" si="0"/>
        <v>0.851008694</v>
      </c>
      <c r="I12" s="416">
        <v>52.1</v>
      </c>
    </row>
    <row r="13" spans="1:9" ht="14.25">
      <c r="A13" s="3" t="s">
        <v>201</v>
      </c>
      <c r="B13" s="396">
        <v>1.633414</v>
      </c>
      <c r="C13" s="397">
        <v>0.851008694</v>
      </c>
      <c r="D13" s="397">
        <f t="shared" si="1"/>
        <v>52.1</v>
      </c>
      <c r="F13" s="415" t="s">
        <v>190</v>
      </c>
      <c r="G13" s="415">
        <v>15.669423</v>
      </c>
      <c r="H13" s="415">
        <f t="shared" si="0"/>
        <v>7.4946850209</v>
      </c>
      <c r="I13" s="415">
        <v>47.83</v>
      </c>
    </row>
    <row r="14" spans="1:9" ht="14.25">
      <c r="A14" s="3" t="s">
        <v>190</v>
      </c>
      <c r="B14" s="396">
        <v>15.669423</v>
      </c>
      <c r="C14" s="397">
        <v>7.4946850209</v>
      </c>
      <c r="D14" s="397">
        <f t="shared" si="1"/>
        <v>47.83</v>
      </c>
      <c r="F14" s="415" t="s">
        <v>188</v>
      </c>
      <c r="G14" s="415">
        <v>3.028539</v>
      </c>
      <c r="H14" s="415">
        <f t="shared" si="0"/>
        <v>1.3922193782999999</v>
      </c>
      <c r="I14" s="415">
        <v>45.97</v>
      </c>
    </row>
    <row r="15" spans="1:9" ht="14.25">
      <c r="A15" s="3" t="s">
        <v>188</v>
      </c>
      <c r="B15" s="396">
        <v>3.028539</v>
      </c>
      <c r="C15" s="397">
        <v>1.3922193782999999</v>
      </c>
      <c r="D15" s="397">
        <f t="shared" si="1"/>
        <v>45.97</v>
      </c>
      <c r="F15" s="415" t="s">
        <v>2</v>
      </c>
      <c r="G15" s="415">
        <v>5.3059650000000005</v>
      </c>
      <c r="H15" s="415">
        <f t="shared" si="0"/>
        <v>2.110712877</v>
      </c>
      <c r="I15" s="415">
        <v>39.78</v>
      </c>
    </row>
    <row r="16" spans="1:9" ht="14.25">
      <c r="A16" s="3" t="s">
        <v>2</v>
      </c>
      <c r="B16" s="396">
        <v>5.3059650000000005</v>
      </c>
      <c r="C16" s="397">
        <v>2.110712877</v>
      </c>
      <c r="D16" s="397">
        <f t="shared" si="1"/>
        <v>39.78</v>
      </c>
      <c r="F16" s="415" t="s">
        <v>144</v>
      </c>
      <c r="G16" s="415">
        <v>4.012265</v>
      </c>
      <c r="H16" s="415">
        <f t="shared" si="0"/>
        <v>1.4416068145</v>
      </c>
      <c r="I16" s="415">
        <v>35.93</v>
      </c>
    </row>
    <row r="17" spans="1:8" ht="14.25">
      <c r="A17" s="398" t="s">
        <v>144</v>
      </c>
      <c r="B17" s="396">
        <v>4.012265</v>
      </c>
      <c r="C17" s="397">
        <v>1.4416068145</v>
      </c>
      <c r="D17" s="397">
        <f t="shared" si="1"/>
        <v>35.93</v>
      </c>
      <c r="H17" s="415">
        <f>SUM(H4:H16)</f>
        <v>707.3123020248999</v>
      </c>
    </row>
    <row r="18" spans="1:14" ht="15">
      <c r="A18" s="176" t="s">
        <v>47</v>
      </c>
      <c r="B18" s="396">
        <f>SUM(B5:B17)</f>
        <v>890.6329</v>
      </c>
      <c r="C18" s="396">
        <f>SUM(C5:C17)</f>
        <v>707.3123020248999</v>
      </c>
      <c r="D18" s="397">
        <f t="shared" si="1"/>
        <v>79.4168171897647</v>
      </c>
      <c r="N18" s="416"/>
    </row>
    <row r="31" spans="12:17" ht="14.25">
      <c r="L31" s="415" t="s">
        <v>207</v>
      </c>
      <c r="Q31" s="420"/>
    </row>
    <row r="32" spans="1:15" ht="14.25">
      <c r="A32" s="178"/>
      <c r="B32" s="413" t="str">
        <f>A5</f>
        <v>Idea</v>
      </c>
      <c r="C32" s="413" t="str">
        <f>A6</f>
        <v>Vodaphone</v>
      </c>
      <c r="D32" s="413" t="str">
        <f>A7</f>
        <v>Bharti Airtel</v>
      </c>
      <c r="E32" s="413" t="str">
        <f>A8</f>
        <v>Reliance</v>
      </c>
      <c r="F32" s="413" t="str">
        <f>A9</f>
        <v>Tata</v>
      </c>
      <c r="G32" s="413" t="str">
        <f>A10</f>
        <v>Aircel</v>
      </c>
      <c r="H32" s="452" t="str">
        <f>A11</f>
        <v>Uninor</v>
      </c>
      <c r="I32" s="413" t="str">
        <f>A12</f>
        <v>BSNL</v>
      </c>
      <c r="J32" s="413" t="str">
        <f>A13</f>
        <v>Quadrant</v>
      </c>
      <c r="K32" s="453" t="str">
        <f>A14</f>
        <v>Sistema Shyam</v>
      </c>
      <c r="L32" s="454" t="str">
        <f>A15</f>
        <v>Loop Mobile</v>
      </c>
      <c r="M32" s="413" t="str">
        <f>A16</f>
        <v>MTNL</v>
      </c>
      <c r="N32" s="413" t="str">
        <f>A17</f>
        <v>Vidiocon</v>
      </c>
      <c r="O32" s="421" t="s">
        <v>47</v>
      </c>
    </row>
    <row r="33" spans="1:15" ht="14.25">
      <c r="A33" s="178" t="s">
        <v>203</v>
      </c>
      <c r="B33" s="419">
        <f>B5</f>
        <v>114.144058</v>
      </c>
      <c r="C33" s="419">
        <f>B6</f>
        <v>150.765055</v>
      </c>
      <c r="D33" s="419">
        <f>B7</f>
        <v>183.610883</v>
      </c>
      <c r="E33" s="419">
        <f>B8</f>
        <v>134.11349</v>
      </c>
      <c r="F33" s="419">
        <f>B9</f>
        <v>72.515165</v>
      </c>
      <c r="G33" s="419">
        <f>B10</f>
        <v>65.323317</v>
      </c>
      <c r="H33" s="419">
        <f>B11</f>
        <v>40.601992</v>
      </c>
      <c r="I33" s="419">
        <f>B12</f>
        <v>99.909334</v>
      </c>
      <c r="J33" s="419">
        <f>B13</f>
        <v>1.633414</v>
      </c>
      <c r="K33" s="419">
        <f>B14</f>
        <v>15.669423</v>
      </c>
      <c r="L33" s="419">
        <f>B15</f>
        <v>3.028539</v>
      </c>
      <c r="M33" s="419">
        <f>B16</f>
        <v>5.3059650000000005</v>
      </c>
      <c r="N33" s="419">
        <f>B17</f>
        <v>4.012265</v>
      </c>
      <c r="O33" s="419">
        <f>B18</f>
        <v>890.6329</v>
      </c>
    </row>
    <row r="34" spans="1:15" ht="14.25">
      <c r="A34" s="178" t="s">
        <v>204</v>
      </c>
      <c r="B34" s="419">
        <f>C5</f>
        <v>111.9296632748</v>
      </c>
      <c r="C34" s="419">
        <f>C6</f>
        <v>140.7994848645</v>
      </c>
      <c r="D34" s="419">
        <f>C7</f>
        <v>171.3456760156</v>
      </c>
      <c r="E34" s="419">
        <f>C8</f>
        <v>103.34785539400002</v>
      </c>
      <c r="F34" s="419">
        <f>C9</f>
        <v>47.74398463599999</v>
      </c>
      <c r="G34" s="419">
        <f>C10</f>
        <v>40.7813468031</v>
      </c>
      <c r="H34" s="419">
        <f>C11</f>
        <v>23.5735165552</v>
      </c>
      <c r="I34" s="419">
        <f>C12</f>
        <v>54.500541696999996</v>
      </c>
      <c r="J34" s="419">
        <f>C13</f>
        <v>0.851008694</v>
      </c>
      <c r="K34" s="419">
        <f>C14</f>
        <v>7.4946850209</v>
      </c>
      <c r="L34" s="419">
        <f>C15</f>
        <v>1.3922193782999999</v>
      </c>
      <c r="M34" s="419">
        <f>C16</f>
        <v>2.110712877</v>
      </c>
      <c r="N34" s="419">
        <f>C17</f>
        <v>1.4416068145</v>
      </c>
      <c r="O34" s="419">
        <f>C18</f>
        <v>707.3123020248999</v>
      </c>
    </row>
    <row r="36" ht="14.25">
      <c r="A36" s="415" t="s">
        <v>208</v>
      </c>
    </row>
    <row r="38" spans="9:15" ht="14.25">
      <c r="I38" s="415">
        <f>I34/I33*100</f>
        <v>54.55</v>
      </c>
      <c r="O38" s="416">
        <f>O34/O33*100</f>
        <v>79.4168171897647</v>
      </c>
    </row>
    <row r="42" spans="2:3" ht="14.25">
      <c r="B42" s="416"/>
      <c r="C42" s="416"/>
    </row>
    <row r="43" spans="2:3" ht="14.25">
      <c r="B43" s="416"/>
      <c r="C43" s="416"/>
    </row>
    <row r="44" spans="2:3" ht="14.25">
      <c r="B44" s="416"/>
      <c r="C44" s="416"/>
    </row>
    <row r="45" spans="2:3" ht="14.25">
      <c r="B45" s="416"/>
      <c r="C45" s="416"/>
    </row>
    <row r="46" spans="2:3" ht="14.25">
      <c r="B46" s="416"/>
      <c r="C46" s="416"/>
    </row>
    <row r="47" spans="2:3" ht="14.25">
      <c r="B47" s="416"/>
      <c r="C47" s="416"/>
    </row>
    <row r="48" spans="2:3" ht="14.25">
      <c r="B48" s="416"/>
      <c r="C48" s="416"/>
    </row>
    <row r="49" spans="2:3" ht="14.25">
      <c r="B49" s="416"/>
      <c r="C49" s="416"/>
    </row>
    <row r="50" spans="2:3" ht="14.25">
      <c r="B50" s="416"/>
      <c r="C50" s="416"/>
    </row>
    <row r="51" spans="2:3" ht="14.25">
      <c r="B51" s="416"/>
      <c r="C51" s="416"/>
    </row>
    <row r="52" spans="2:3" ht="14.25">
      <c r="B52" s="416"/>
      <c r="C52" s="416"/>
    </row>
    <row r="53" spans="2:3" ht="14.25">
      <c r="B53" s="416"/>
      <c r="C53" s="416"/>
    </row>
    <row r="54" spans="2:3" ht="14.25">
      <c r="B54" s="416"/>
      <c r="C54" s="416"/>
    </row>
    <row r="55" spans="2:4" ht="14.25">
      <c r="B55" s="416"/>
      <c r="C55" s="416"/>
      <c r="D55" s="416"/>
    </row>
    <row r="57" ht="14.25">
      <c r="E57" s="416"/>
    </row>
  </sheetData>
  <sheetProtection/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D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32" sqref="T32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192</v>
      </c>
      <c r="C2" s="2"/>
      <c r="D2" s="2"/>
      <c r="E2" s="2"/>
      <c r="G2" s="2" t="s">
        <v>249</v>
      </c>
      <c r="H2" s="2"/>
    </row>
    <row r="4" spans="2:33" ht="15">
      <c r="B4" s="26" t="s">
        <v>223</v>
      </c>
      <c r="T4" s="73"/>
      <c r="U4" s="73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7" t="s">
        <v>62</v>
      </c>
      <c r="B6" s="477" t="s">
        <v>63</v>
      </c>
      <c r="C6" s="480" t="s">
        <v>155</v>
      </c>
      <c r="D6" s="481"/>
      <c r="E6" s="482"/>
      <c r="F6" s="167"/>
      <c r="G6" s="478" t="s">
        <v>104</v>
      </c>
      <c r="H6" s="167"/>
      <c r="I6" s="167"/>
      <c r="J6" s="167"/>
      <c r="K6" s="167"/>
      <c r="L6" s="168"/>
      <c r="M6" s="167"/>
      <c r="N6" s="167"/>
      <c r="O6" s="167"/>
      <c r="P6" s="167"/>
      <c r="Q6" s="179"/>
      <c r="R6" s="179"/>
      <c r="S6" s="478" t="s">
        <v>69</v>
      </c>
      <c r="T6" s="477" t="s">
        <v>70</v>
      </c>
      <c r="U6" s="477" t="s">
        <v>128</v>
      </c>
      <c r="V6" s="477"/>
      <c r="W6" s="477"/>
      <c r="X6" s="477" t="s">
        <v>128</v>
      </c>
      <c r="Y6" s="477"/>
      <c r="Z6" s="469" t="s">
        <v>129</v>
      </c>
      <c r="AA6" s="471" t="s">
        <v>102</v>
      </c>
      <c r="AB6" s="474" t="s">
        <v>236</v>
      </c>
      <c r="AC6" s="475"/>
      <c r="AD6" s="476"/>
      <c r="AE6" s="466" t="s">
        <v>86</v>
      </c>
      <c r="AF6" s="467"/>
      <c r="AG6" s="468"/>
    </row>
    <row r="7" spans="1:33" ht="30" customHeight="1">
      <c r="A7" s="477"/>
      <c r="B7" s="477"/>
      <c r="C7" s="49" t="s">
        <v>87</v>
      </c>
      <c r="D7" s="49" t="s">
        <v>88</v>
      </c>
      <c r="E7" s="49" t="s">
        <v>89</v>
      </c>
      <c r="F7" s="49" t="s">
        <v>2</v>
      </c>
      <c r="G7" s="479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6" t="s">
        <v>134</v>
      </c>
      <c r="R7" s="166" t="s">
        <v>146</v>
      </c>
      <c r="S7" s="479"/>
      <c r="T7" s="477"/>
      <c r="U7" s="165" t="s">
        <v>90</v>
      </c>
      <c r="V7" s="165" t="s">
        <v>91</v>
      </c>
      <c r="W7" s="165" t="s">
        <v>92</v>
      </c>
      <c r="X7" s="49" t="s">
        <v>105</v>
      </c>
      <c r="Y7" s="47" t="s">
        <v>93</v>
      </c>
      <c r="Z7" s="470"/>
      <c r="AA7" s="463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128668</v>
      </c>
      <c r="D8" s="60">
        <f>'Anne-8'!S9+'Anne-7'!R9+'Anne-7'!U9+'Anne-6'!AD9</f>
        <v>95337</v>
      </c>
      <c r="E8" s="58">
        <f>C8+D8</f>
        <v>224005</v>
      </c>
      <c r="F8" s="58"/>
      <c r="G8" s="380" t="s">
        <v>196</v>
      </c>
      <c r="H8" s="380" t="s">
        <v>196</v>
      </c>
      <c r="I8" s="380" t="s">
        <v>196</v>
      </c>
      <c r="J8" s="380" t="s">
        <v>196</v>
      </c>
      <c r="K8" s="380" t="s">
        <v>196</v>
      </c>
      <c r="L8" s="380" t="s">
        <v>196</v>
      </c>
      <c r="M8" s="380" t="s">
        <v>196</v>
      </c>
      <c r="N8" s="380" t="s">
        <v>196</v>
      </c>
      <c r="O8" s="380" t="s">
        <v>196</v>
      </c>
      <c r="P8" s="380" t="s">
        <v>196</v>
      </c>
      <c r="Q8" s="380" t="s">
        <v>196</v>
      </c>
      <c r="R8" s="380" t="s">
        <v>196</v>
      </c>
      <c r="S8" s="380" t="s">
        <v>196</v>
      </c>
      <c r="T8" s="380" t="s">
        <v>196</v>
      </c>
      <c r="U8" s="152">
        <f aca="true" t="shared" si="0" ref="U8:U31">C8/(AC8*1000)*100</f>
        <v>86.52365687435397</v>
      </c>
      <c r="V8" s="152">
        <f aca="true" t="shared" si="1" ref="V8:V31">D8/(AD8*1000)*100</f>
        <v>41.10707838252252</v>
      </c>
      <c r="W8" s="152">
        <f aca="true" t="shared" si="2" ref="W8:W34">E8/(AB8*1000)*100</f>
        <v>58.85080236819756</v>
      </c>
      <c r="X8" s="152"/>
      <c r="Y8" s="152"/>
      <c r="Z8" s="153"/>
      <c r="AA8" s="58"/>
      <c r="AB8" s="58">
        <f aca="true" t="shared" si="3" ref="AB8:AB33">AC8+AD8</f>
        <v>380.63202366982557</v>
      </c>
      <c r="AC8" s="58">
        <f>'Anne-4'!Z8</f>
        <v>148.70846268881849</v>
      </c>
      <c r="AD8" s="58">
        <f>'Anne-4'!AA8</f>
        <v>231.92356098100709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5613093</v>
      </c>
      <c r="D9" s="60">
        <f>'Anne-8'!S10+'Anne-7'!R10+'Anne-7'!U10+'Anne-6'!AD10</f>
        <v>5478014</v>
      </c>
      <c r="E9" s="58">
        <f aca="true" t="shared" si="5" ref="E9:E33">C9+D9</f>
        <v>11091107</v>
      </c>
      <c r="F9" s="58"/>
      <c r="G9" s="58">
        <f>E9</f>
        <v>11091107</v>
      </c>
      <c r="H9" s="58">
        <f>'Anne-6'!G10+'Anne-8'!H10</f>
        <v>17830511</v>
      </c>
      <c r="I9" s="58">
        <f>'Anne-6'!S10+'Anne-7'!I10+'Anne-8'!I10</f>
        <v>6898924</v>
      </c>
      <c r="J9" s="58">
        <f>'Anne-6'!I10+'Anne-8'!M10</f>
        <v>6086256</v>
      </c>
      <c r="K9" s="58">
        <f>'Anne-7'!J10+'Anne-8'!J10</f>
        <v>7067821</v>
      </c>
      <c r="L9" s="58">
        <f>'Anne-6'!N10</f>
        <v>10632055</v>
      </c>
      <c r="M9" s="58">
        <f>'Anne-6'!K10</f>
        <v>1871685</v>
      </c>
      <c r="N9" s="218">
        <f>'Anne-6'!X10</f>
        <v>0</v>
      </c>
      <c r="O9" s="58"/>
      <c r="P9" s="58">
        <f>'Anne-7'!L10+'Anne-8'!L10</f>
        <v>679838</v>
      </c>
      <c r="Q9" s="58">
        <f>'Anne-4'!O9</f>
        <v>4029580</v>
      </c>
      <c r="R9" s="58">
        <f>'Anne-6'!W10</f>
        <v>9763</v>
      </c>
      <c r="S9" s="58">
        <f aca="true" t="shared" si="6" ref="S9:S37">H9+I9+K9+J9+L9+M9+N9+O9+P9+Q9+R9</f>
        <v>55106433</v>
      </c>
      <c r="T9" s="58">
        <f aca="true" t="shared" si="7" ref="T9:T33">G9+S9</f>
        <v>66197540</v>
      </c>
      <c r="U9" s="152">
        <f t="shared" si="0"/>
        <v>23.7027775158331</v>
      </c>
      <c r="V9" s="152">
        <f t="shared" si="1"/>
        <v>8.870656781194988</v>
      </c>
      <c r="W9" s="152">
        <f t="shared" si="2"/>
        <v>12.981850735221606</v>
      </c>
      <c r="X9" s="152">
        <f>G9/(AA9*1000)*100</f>
        <v>12.981850735221606</v>
      </c>
      <c r="Y9" s="152">
        <f>T9/(AA9*1000)*100</f>
        <v>77.48248964858618</v>
      </c>
      <c r="Z9" s="153">
        <f>G9/T9*100</f>
        <v>16.754560667964398</v>
      </c>
      <c r="AA9" s="58">
        <f>AB9</f>
        <v>85435.48393996127</v>
      </c>
      <c r="AB9" s="58">
        <f t="shared" si="3"/>
        <v>85435.48393996127</v>
      </c>
      <c r="AC9" s="58">
        <f>'Anne-4'!Z9</f>
        <v>23681.161400812787</v>
      </c>
      <c r="AD9" s="58">
        <f>'Anne-4'!AA9</f>
        <v>61754.32253914848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978941</v>
      </c>
      <c r="D10" s="60">
        <f>'Anne-8'!S11+'Anne-7'!R11+'Anne-7'!U11+'Anne-6'!AD11</f>
        <v>443253</v>
      </c>
      <c r="E10" s="58">
        <f t="shared" si="5"/>
        <v>1422194</v>
      </c>
      <c r="F10" s="58"/>
      <c r="G10" s="58">
        <f>E10</f>
        <v>1422194</v>
      </c>
      <c r="H10" s="58">
        <f>'Anne-6'!G11+'Anne-8'!H11</f>
        <v>3826231</v>
      </c>
      <c r="I10" s="58">
        <f>'Anne-6'!S11+'Anne-7'!I11+'Anne-8'!I11</f>
        <v>3060184</v>
      </c>
      <c r="J10" s="58">
        <f>'Anne-6'!I11+'Anne-8'!M11</f>
        <v>2188133</v>
      </c>
      <c r="K10" s="58">
        <f>'Anne-7'!J11+'Anne-8'!J11</f>
        <v>122967</v>
      </c>
      <c r="L10" s="58">
        <f>'Anne-6'!N11</f>
        <v>368973</v>
      </c>
      <c r="M10" s="58">
        <f>'Anne-6'!K11</f>
        <v>3542284</v>
      </c>
      <c r="N10" s="218">
        <f>'Anne-6'!X11</f>
        <v>0</v>
      </c>
      <c r="O10" s="58"/>
      <c r="P10" s="58">
        <f>'Anne-7'!L11+'Anne-8'!L11</f>
        <v>1280</v>
      </c>
      <c r="Q10" s="58">
        <f>'Anne-4'!O10</f>
        <v>779</v>
      </c>
      <c r="R10" s="58">
        <f>'Anne-6'!W11</f>
        <v>0</v>
      </c>
      <c r="S10" s="58">
        <f t="shared" si="6"/>
        <v>13110831</v>
      </c>
      <c r="T10" s="58">
        <f t="shared" si="7"/>
        <v>14533025</v>
      </c>
      <c r="U10" s="152">
        <f t="shared" si="0"/>
        <v>20.61764762250783</v>
      </c>
      <c r="V10" s="152">
        <f t="shared" si="1"/>
        <v>1.6414296179009655</v>
      </c>
      <c r="W10" s="152">
        <f t="shared" si="2"/>
        <v>4.479047142732751</v>
      </c>
      <c r="X10" s="152">
        <f>G10/(AA10*1000)*100</f>
        <v>4.479047142732751</v>
      </c>
      <c r="Y10" s="152">
        <f aca="true" t="shared" si="8" ref="Y10:Y37">T10/(AA10*1000)*100</f>
        <v>45.770200198786966</v>
      </c>
      <c r="Z10" s="153">
        <f>G10/T10*100</f>
        <v>9.785946146793252</v>
      </c>
      <c r="AA10" s="58">
        <f>AB10</f>
        <v>31752.155194604464</v>
      </c>
      <c r="AB10" s="58">
        <f t="shared" si="3"/>
        <v>31752.155194604464</v>
      </c>
      <c r="AC10" s="58">
        <f>'Anne-4'!Z10</f>
        <v>4748.073194011288</v>
      </c>
      <c r="AD10" s="58">
        <f>'Anne-4'!AA10</f>
        <v>27004.082000593175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3032961</v>
      </c>
      <c r="D11" s="60">
        <f>'Anne-8'!S12+'Anne-7'!R12+'Anne-7'!U12+'Anne-6'!AD12</f>
        <v>1650908</v>
      </c>
      <c r="E11" s="58">
        <f t="shared" si="5"/>
        <v>4683869</v>
      </c>
      <c r="F11" s="58"/>
      <c r="G11" s="58">
        <f>E11+E17</f>
        <v>6547156</v>
      </c>
      <c r="H11" s="58">
        <f>'Anne-6'!G12+'Anne-8'!H12</f>
        <v>18619726</v>
      </c>
      <c r="I11" s="58">
        <f>'Anne-6'!S12+'Anne-7'!I12+'Anne-8'!I12</f>
        <v>9220867</v>
      </c>
      <c r="J11" s="58">
        <f>'Anne-6'!I12+'Anne-8'!M12</f>
        <v>6381278</v>
      </c>
      <c r="K11" s="58">
        <f>'Anne-7'!J12+'Anne-8'!J12</f>
        <v>3864516</v>
      </c>
      <c r="L11" s="58">
        <f>'Anne-6'!N12</f>
        <v>5459296</v>
      </c>
      <c r="M11" s="58">
        <f>'Anne-6'!K12</f>
        <v>4981643</v>
      </c>
      <c r="N11" s="218">
        <f>'Anne-6'!X12</f>
        <v>0</v>
      </c>
      <c r="O11" s="58"/>
      <c r="P11" s="58">
        <f>'Anne-7'!L12+'Anne-8'!L12</f>
        <v>1481580</v>
      </c>
      <c r="Q11" s="58">
        <f>'Anne-4'!O11</f>
        <v>5005668</v>
      </c>
      <c r="R11" s="58">
        <f>'Anne-6'!W12</f>
        <v>18598</v>
      </c>
      <c r="S11" s="58">
        <f t="shared" si="6"/>
        <v>55033172</v>
      </c>
      <c r="T11" s="58">
        <f t="shared" si="7"/>
        <v>61580328</v>
      </c>
      <c r="U11" s="152">
        <f t="shared" si="0"/>
        <v>26.90995467708471</v>
      </c>
      <c r="V11" s="152">
        <f t="shared" si="1"/>
        <v>1.7220746678206575</v>
      </c>
      <c r="W11" s="152">
        <f t="shared" si="2"/>
        <v>4.371802527984743</v>
      </c>
      <c r="X11" s="152">
        <f>G11/(AA11*1000)*100</f>
        <v>4.642886796623059</v>
      </c>
      <c r="Y11" s="152">
        <f t="shared" si="8"/>
        <v>43.66941795841083</v>
      </c>
      <c r="Z11" s="153">
        <f>G11/T11*100</f>
        <v>10.631895302668735</v>
      </c>
      <c r="AA11" s="58">
        <f>AB11+AB17</f>
        <v>141014.76703593088</v>
      </c>
      <c r="AB11" s="58">
        <f t="shared" si="3"/>
        <v>107138.16486489636</v>
      </c>
      <c r="AC11" s="58">
        <f>'Anne-4'!Z11</f>
        <v>11270.777065197854</v>
      </c>
      <c r="AD11" s="58">
        <f>'Anne-4'!AA11</f>
        <v>95867.38779969851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1175209</v>
      </c>
      <c r="D12" s="60">
        <f>'Anne-8'!S13+'Anne-7'!R13+'Anne-7'!U13+'Anne-6'!AD13</f>
        <v>627910</v>
      </c>
      <c r="E12" s="58">
        <f t="shared" si="5"/>
        <v>1803119</v>
      </c>
      <c r="F12" s="58"/>
      <c r="G12" s="380" t="s">
        <v>196</v>
      </c>
      <c r="H12" s="380" t="s">
        <v>196</v>
      </c>
      <c r="I12" s="380" t="s">
        <v>196</v>
      </c>
      <c r="J12" s="380" t="s">
        <v>196</v>
      </c>
      <c r="K12" s="380" t="s">
        <v>196</v>
      </c>
      <c r="L12" s="380" t="s">
        <v>196</v>
      </c>
      <c r="M12" s="380" t="s">
        <v>196</v>
      </c>
      <c r="N12" s="380" t="s">
        <v>196</v>
      </c>
      <c r="O12" s="380" t="s">
        <v>196</v>
      </c>
      <c r="P12" s="380" t="s">
        <v>196</v>
      </c>
      <c r="Q12" s="380" t="s">
        <v>196</v>
      </c>
      <c r="R12" s="380" t="s">
        <v>196</v>
      </c>
      <c r="S12" s="380" t="s">
        <v>196</v>
      </c>
      <c r="T12" s="380" t="s">
        <v>196</v>
      </c>
      <c r="U12" s="152">
        <f t="shared" si="0"/>
        <v>19.38890714413705</v>
      </c>
      <c r="V12" s="152">
        <f t="shared" si="1"/>
        <v>3.1092708832940152</v>
      </c>
      <c r="W12" s="152">
        <f t="shared" si="2"/>
        <v>6.867452228034762</v>
      </c>
      <c r="X12" s="152"/>
      <c r="Y12" s="152"/>
      <c r="Z12" s="153"/>
      <c r="AA12" s="58"/>
      <c r="AB12" s="58">
        <f t="shared" si="3"/>
        <v>26256.010819255353</v>
      </c>
      <c r="AC12" s="58">
        <f>'Anne-4'!Z12</f>
        <v>6061.24414988169</v>
      </c>
      <c r="AD12" s="58">
        <f>'Anne-4'!AA12</f>
        <v>20194.766669373665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3928300</v>
      </c>
      <c r="D13" s="60">
        <f>'Anne-8'!S14+'Anne-7'!R14+'Anne-7'!U14+'Anne-6'!AD14</f>
        <v>1887499</v>
      </c>
      <c r="E13" s="58">
        <f t="shared" si="5"/>
        <v>5815799</v>
      </c>
      <c r="F13" s="58"/>
      <c r="G13" s="58">
        <f>E13</f>
        <v>5815799</v>
      </c>
      <c r="H13" s="58">
        <f>'Anne-6'!G14+'Anne-8'!H14</f>
        <v>6866105</v>
      </c>
      <c r="I13" s="58">
        <f>'Anne-6'!S14+'Anne-7'!I14+'Anne-8'!I14</f>
        <v>6820678</v>
      </c>
      <c r="J13" s="58">
        <f>'Anne-6'!I14+'Anne-8'!M14</f>
        <v>15801326</v>
      </c>
      <c r="K13" s="58">
        <f>'Anne-7'!J14+'Anne-8'!J14</f>
        <v>3086606</v>
      </c>
      <c r="L13" s="58">
        <f>'Anne-6'!N14</f>
        <v>8018178</v>
      </c>
      <c r="M13" s="58">
        <f>'Anne-6'!K14</f>
        <v>338457</v>
      </c>
      <c r="N13" s="218">
        <f>'Anne-6'!X14</f>
        <v>0</v>
      </c>
      <c r="O13" s="58"/>
      <c r="P13" s="58">
        <f>'Anne-7'!L14+'Anne-8'!L14</f>
        <v>231729</v>
      </c>
      <c r="Q13" s="58">
        <f>'Anne-4'!O13</f>
        <v>4430904</v>
      </c>
      <c r="R13" s="58">
        <f>'Anne-6'!W14</f>
        <v>657286</v>
      </c>
      <c r="S13" s="58">
        <f t="shared" si="6"/>
        <v>46251269</v>
      </c>
      <c r="T13" s="58">
        <f t="shared" si="7"/>
        <v>52067068</v>
      </c>
      <c r="U13" s="152">
        <f t="shared" si="0"/>
        <v>15.622864046938965</v>
      </c>
      <c r="V13" s="152">
        <f t="shared" si="1"/>
        <v>5.070607339963857</v>
      </c>
      <c r="W13" s="152">
        <f t="shared" si="2"/>
        <v>9.324841877820528</v>
      </c>
      <c r="X13" s="152">
        <f>G13/(AA13*1000)*100</f>
        <v>9.324841877820528</v>
      </c>
      <c r="Y13" s="152">
        <f t="shared" si="8"/>
        <v>83.48245462776984</v>
      </c>
      <c r="Z13" s="153">
        <f>G13/T13*100</f>
        <v>11.169822352969828</v>
      </c>
      <c r="AA13" s="58">
        <f>AB13</f>
        <v>62368.875271044395</v>
      </c>
      <c r="AB13" s="58">
        <f t="shared" si="3"/>
        <v>62368.875271044395</v>
      </c>
      <c r="AC13" s="58">
        <f>'Anne-4'!Z13</f>
        <v>25144.557286022624</v>
      </c>
      <c r="AD13" s="58">
        <f>'Anne-4'!AA13</f>
        <v>37224.31798502177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1649585</v>
      </c>
      <c r="D14" s="60">
        <f>'Anne-8'!S15+'Anne-7'!R15+'Anne-7'!U15+'Anne-6'!AD15</f>
        <v>1909375</v>
      </c>
      <c r="E14" s="58">
        <f t="shared" si="5"/>
        <v>3558960</v>
      </c>
      <c r="F14" s="58"/>
      <c r="G14" s="58">
        <f>E14</f>
        <v>3558960</v>
      </c>
      <c r="H14" s="58">
        <f>'Anne-6'!G15+'Anne-8'!H15</f>
        <v>2241694</v>
      </c>
      <c r="I14" s="58">
        <f>'Anne-6'!S15+'Anne-7'!I15+'Anne-8'!I15</f>
        <v>2126969</v>
      </c>
      <c r="J14" s="58">
        <f>'Anne-6'!I15+'Anne-8'!M15</f>
        <v>4437015</v>
      </c>
      <c r="K14" s="58">
        <f>'Anne-7'!J15+'Anne-8'!J15</f>
        <v>2703719</v>
      </c>
      <c r="L14" s="58">
        <f>'Anne-6'!N15</f>
        <v>3533255</v>
      </c>
      <c r="M14" s="58">
        <f>'Anne-6'!K15</f>
        <v>427498</v>
      </c>
      <c r="N14" s="218">
        <f>'Anne-6'!X15</f>
        <v>0</v>
      </c>
      <c r="O14" s="58"/>
      <c r="P14" s="58">
        <f>'Anne-7'!L15+'Anne-8'!L15</f>
        <v>156659</v>
      </c>
      <c r="Q14" s="58">
        <f>'Anne-4'!O14</f>
        <v>437</v>
      </c>
      <c r="R14" s="58">
        <f>'Anne-6'!W15</f>
        <v>913010</v>
      </c>
      <c r="S14" s="58">
        <f t="shared" si="6"/>
        <v>16540256</v>
      </c>
      <c r="T14" s="58">
        <f t="shared" si="7"/>
        <v>20099216</v>
      </c>
      <c r="U14" s="152">
        <f t="shared" si="0"/>
        <v>18.899281056543686</v>
      </c>
      <c r="V14" s="152">
        <f t="shared" si="1"/>
        <v>11.086206711320717</v>
      </c>
      <c r="W14" s="152">
        <f t="shared" si="2"/>
        <v>13.714009065883696</v>
      </c>
      <c r="X14" s="152">
        <f>G14/(AA14*1000)*100</f>
        <v>13.714009065883696</v>
      </c>
      <c r="Y14" s="152">
        <f t="shared" si="8"/>
        <v>77.44982535379846</v>
      </c>
      <c r="Z14" s="153">
        <f>G14/T14*100</f>
        <v>17.706959316224076</v>
      </c>
      <c r="AA14" s="58">
        <f>AB14</f>
        <v>25951.273496337522</v>
      </c>
      <c r="AB14" s="58">
        <f t="shared" si="3"/>
        <v>25951.273496337522</v>
      </c>
      <c r="AC14" s="58">
        <f>'Anne-4'!Z14</f>
        <v>8728.294981511204</v>
      </c>
      <c r="AD14" s="58">
        <f>'Anne-4'!AA14</f>
        <v>17222.978514826318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89" customFormat="1" ht="14.25">
      <c r="A15" s="384">
        <v>8</v>
      </c>
      <c r="B15" s="385" t="s">
        <v>28</v>
      </c>
      <c r="C15" s="87">
        <f>'Anne-8'!R16+'Anne-7'!Q16+'Anne-7'!T16+'Anne-6'!AC16</f>
        <v>656219</v>
      </c>
      <c r="D15" s="87">
        <f>'Anne-8'!S16+'Anne-7'!R16+'Anne-7'!U16+'Anne-6'!AD16</f>
        <v>1216546</v>
      </c>
      <c r="E15" s="87">
        <f t="shared" si="5"/>
        <v>1872765</v>
      </c>
      <c r="F15" s="87"/>
      <c r="G15" s="87">
        <f>E15</f>
        <v>1872765</v>
      </c>
      <c r="H15" s="87">
        <f>'Anne-6'!G16+'Anne-8'!H16</f>
        <v>1904509</v>
      </c>
      <c r="I15" s="87">
        <f>'Anne-6'!S16+'Anne-7'!I16+'Anne-8'!I16</f>
        <v>1440819</v>
      </c>
      <c r="J15" s="58">
        <f>'Anne-6'!I16+'Anne-8'!M16</f>
        <v>475329</v>
      </c>
      <c r="K15" s="87">
        <f>'Anne-7'!J16+'Anne-8'!J16</f>
        <v>198455</v>
      </c>
      <c r="L15" s="87">
        <f>'Anne-6'!N16</f>
        <v>447450</v>
      </c>
      <c r="M15" s="87">
        <f>'Anne-6'!K16</f>
        <v>714277</v>
      </c>
      <c r="N15" s="386">
        <f>'Anne-6'!X16</f>
        <v>0</v>
      </c>
      <c r="O15" s="87"/>
      <c r="P15" s="87">
        <f>'Anne-7'!L16+'Anne-8'!L16</f>
        <v>71</v>
      </c>
      <c r="Q15" s="87">
        <f>'Anne-4'!O15</f>
        <v>151</v>
      </c>
      <c r="R15" s="87">
        <f>'Anne-6'!W16</f>
        <v>44555</v>
      </c>
      <c r="S15" s="87">
        <f t="shared" si="6"/>
        <v>5225616</v>
      </c>
      <c r="T15" s="87">
        <f t="shared" si="7"/>
        <v>7098381</v>
      </c>
      <c r="U15" s="387">
        <f t="shared" si="0"/>
        <v>85.66501030570353</v>
      </c>
      <c r="V15" s="387">
        <f t="shared" si="1"/>
        <v>19.71023830134034</v>
      </c>
      <c r="W15" s="387">
        <f t="shared" si="2"/>
        <v>26.992157777753174</v>
      </c>
      <c r="X15" s="387">
        <f>G15/(AA15*1000)*100</f>
        <v>26.992157777753174</v>
      </c>
      <c r="Y15" s="387">
        <f t="shared" si="8"/>
        <v>102.30894955779574</v>
      </c>
      <c r="Z15" s="388">
        <f>G15/T15*100</f>
        <v>26.382987895408828</v>
      </c>
      <c r="AA15" s="87">
        <f>AB15</f>
        <v>6938.181880159003</v>
      </c>
      <c r="AB15" s="87">
        <f t="shared" si="3"/>
        <v>6938.181880159003</v>
      </c>
      <c r="AC15" s="87">
        <f>'Anne-4'!Z15</f>
        <v>766.0292080257991</v>
      </c>
      <c r="AD15" s="87">
        <f>'Anne-4'!AA15</f>
        <v>6172.152672133204</v>
      </c>
      <c r="AE15" s="87">
        <v>594880.8567659298</v>
      </c>
      <c r="AF15" s="87">
        <v>5482366.869364679</v>
      </c>
      <c r="AG15" s="87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1184484</v>
      </c>
      <c r="D16" s="60">
        <f>'Anne-8'!S17+'Anne-7'!R17+'Anne-7'!U17+'Anne-6'!AD17</f>
        <v>167921</v>
      </c>
      <c r="E16" s="58">
        <f t="shared" si="5"/>
        <v>1352405</v>
      </c>
      <c r="F16" s="58"/>
      <c r="G16" s="58">
        <f>E16</f>
        <v>1352405</v>
      </c>
      <c r="H16" s="58">
        <f>'Anne-6'!G17+'Anne-8'!H17</f>
        <v>2302707</v>
      </c>
      <c r="I16" s="58">
        <f>'Anne-6'!S17+'Anne-7'!I17+'Anne-8'!I17</f>
        <v>606558</v>
      </c>
      <c r="J16" s="58">
        <f>'Anne-6'!I17+'Anne-8'!M17</f>
        <v>666009</v>
      </c>
      <c r="K16" s="58">
        <f>'Anne-7'!J17+'Anne-8'!J17</f>
        <v>85405</v>
      </c>
      <c r="L16" s="58">
        <f>'Anne-6'!N17</f>
        <v>201578</v>
      </c>
      <c r="M16" s="58">
        <f>'Anne-6'!K17</f>
        <v>1786423</v>
      </c>
      <c r="N16" s="218">
        <f>'Anne-6'!X17</f>
        <v>0</v>
      </c>
      <c r="O16" s="58"/>
      <c r="P16" s="58">
        <f>'Anne-7'!L17+'Anne-8'!L17</f>
        <v>21</v>
      </c>
      <c r="Q16" s="58">
        <f>'Anne-4'!O16</f>
        <v>319</v>
      </c>
      <c r="R16" s="58">
        <f>'Anne-6'!W17</f>
        <v>0</v>
      </c>
      <c r="S16" s="58">
        <f t="shared" si="6"/>
        <v>5649020</v>
      </c>
      <c r="T16" s="58">
        <f t="shared" si="7"/>
        <v>7001425</v>
      </c>
      <c r="U16" s="152">
        <f t="shared" si="0"/>
        <v>34.170260616583</v>
      </c>
      <c r="V16" s="152">
        <f t="shared" si="1"/>
        <v>1.7755559282996918</v>
      </c>
      <c r="W16" s="152">
        <f t="shared" si="2"/>
        <v>10.464458201321927</v>
      </c>
      <c r="X16" s="152">
        <f>G16/(AA16*1000)*100</f>
        <v>10.464458201321927</v>
      </c>
      <c r="Y16" s="152">
        <f t="shared" si="8"/>
        <v>54.17468824959266</v>
      </c>
      <c r="Z16" s="153">
        <f>G16/T16*100</f>
        <v>19.316139214517044</v>
      </c>
      <c r="AA16" s="58">
        <f>AB16</f>
        <v>12923.793797839979</v>
      </c>
      <c r="AB16" s="58">
        <f t="shared" si="3"/>
        <v>12923.793797839979</v>
      </c>
      <c r="AC16" s="58">
        <f>'Anne-4'!Z16</f>
        <v>3466.4178107707025</v>
      </c>
      <c r="AD16" s="58">
        <f>'Anne-4'!AA16</f>
        <v>9457.375987069276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1312909</v>
      </c>
      <c r="D17" s="60">
        <f>'Anne-8'!S18+'Anne-7'!R18+'Anne-7'!U18+'Anne-6'!AD18</f>
        <v>550378</v>
      </c>
      <c r="E17" s="58">
        <f t="shared" si="5"/>
        <v>1863287</v>
      </c>
      <c r="F17" s="58"/>
      <c r="G17" s="380" t="s">
        <v>196</v>
      </c>
      <c r="H17" s="380" t="s">
        <v>196</v>
      </c>
      <c r="I17" s="380" t="s">
        <v>196</v>
      </c>
      <c r="J17" s="380" t="s">
        <v>196</v>
      </c>
      <c r="K17" s="380" t="s">
        <v>196</v>
      </c>
      <c r="L17" s="380" t="s">
        <v>196</v>
      </c>
      <c r="M17" s="380" t="s">
        <v>196</v>
      </c>
      <c r="N17" s="380" t="s">
        <v>196</v>
      </c>
      <c r="O17" s="380" t="s">
        <v>196</v>
      </c>
      <c r="P17" s="380" t="s">
        <v>196</v>
      </c>
      <c r="Q17" s="380" t="s">
        <v>196</v>
      </c>
      <c r="R17" s="380" t="s">
        <v>196</v>
      </c>
      <c r="S17" s="380" t="s">
        <v>196</v>
      </c>
      <c r="T17" s="380" t="s">
        <v>196</v>
      </c>
      <c r="U17" s="152">
        <f t="shared" si="0"/>
        <v>16.640070016075267</v>
      </c>
      <c r="V17" s="152">
        <f t="shared" si="1"/>
        <v>2.1179334946606776</v>
      </c>
      <c r="W17" s="152">
        <f t="shared" si="2"/>
        <v>5.5002180873770286</v>
      </c>
      <c r="X17" s="152"/>
      <c r="Y17" s="152"/>
      <c r="Z17" s="153"/>
      <c r="AA17" s="58"/>
      <c r="AB17" s="58">
        <f t="shared" si="3"/>
        <v>33876.60217103452</v>
      </c>
      <c r="AC17" s="58">
        <f>'Anne-4'!Z17</f>
        <v>7890.044926082967</v>
      </c>
      <c r="AD17" s="58">
        <f>'Anne-4'!AA17</f>
        <v>25986.557244951557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6760880</v>
      </c>
      <c r="D18" s="60">
        <f>'Anne-8'!S19+'Anne-7'!R19+'Anne-7'!U19+'Anne-6'!AD19</f>
        <v>1943096</v>
      </c>
      <c r="E18" s="58">
        <f t="shared" si="5"/>
        <v>8703976</v>
      </c>
      <c r="F18" s="58"/>
      <c r="G18" s="58">
        <f>E18</f>
        <v>8703976</v>
      </c>
      <c r="H18" s="58">
        <f>'Anne-6'!G19+'Anne-8'!H19</f>
        <v>16388000</v>
      </c>
      <c r="I18" s="58">
        <f>'Anne-6'!S19+'Anne-7'!I19+'Anne-8'!I19</f>
        <v>6529627</v>
      </c>
      <c r="J18" s="58">
        <f>'Anne-6'!I19+'Anne-8'!M19</f>
        <v>6455380</v>
      </c>
      <c r="K18" s="58">
        <f>'Anne-7'!J19+'Anne-8'!J19</f>
        <v>6446246</v>
      </c>
      <c r="L18" s="58">
        <f>'Anne-6'!N19</f>
        <v>5890723</v>
      </c>
      <c r="M18" s="58">
        <f>'Anne-6'!K19</f>
        <v>1544826</v>
      </c>
      <c r="N18" s="218">
        <f>'Anne-6'!X19</f>
        <v>0</v>
      </c>
      <c r="O18" s="58"/>
      <c r="P18" s="58">
        <f>'Anne-7'!L19+'Anne-8'!L19</f>
        <v>2204660</v>
      </c>
      <c r="Q18" s="58">
        <f>'Anne-4'!O18</f>
        <v>1061461</v>
      </c>
      <c r="R18" s="58">
        <f>'Anne-6'!W19</f>
        <v>8086</v>
      </c>
      <c r="S18" s="58">
        <f t="shared" si="6"/>
        <v>46529009</v>
      </c>
      <c r="T18" s="58">
        <f t="shared" si="7"/>
        <v>55232985</v>
      </c>
      <c r="U18" s="152">
        <f t="shared" si="0"/>
        <v>29.25200793378138</v>
      </c>
      <c r="V18" s="152">
        <f t="shared" si="1"/>
        <v>4.977902774044074</v>
      </c>
      <c r="W18" s="152">
        <f t="shared" si="2"/>
        <v>14.005472672895863</v>
      </c>
      <c r="X18" s="152">
        <f>G18/(AA18*1000)*100</f>
        <v>14.005472672895863</v>
      </c>
      <c r="Y18" s="152">
        <f t="shared" si="8"/>
        <v>88.87479263039869</v>
      </c>
      <c r="Z18" s="153">
        <f>G18/T18*100</f>
        <v>15.758655810472675</v>
      </c>
      <c r="AA18" s="58">
        <f>AB18</f>
        <v>62146.9635712074</v>
      </c>
      <c r="AB18" s="58">
        <f t="shared" si="3"/>
        <v>62146.9635712074</v>
      </c>
      <c r="AC18" s="58">
        <f>'Anne-4'!Z18</f>
        <v>23112.533044927382</v>
      </c>
      <c r="AD18" s="58">
        <f>'Anne-4'!AA18</f>
        <v>39034.43052628002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5313163</v>
      </c>
      <c r="D19" s="60">
        <f>'Anne-8'!S20+'Anne-7'!R20+'Anne-7'!U20+'Anne-6'!AD20</f>
        <v>5281295</v>
      </c>
      <c r="E19" s="58">
        <f t="shared" si="5"/>
        <v>10594458</v>
      </c>
      <c r="F19" s="58"/>
      <c r="G19" s="58">
        <f>E19</f>
        <v>10594458</v>
      </c>
      <c r="H19" s="58">
        <f>'Anne-6'!G20+'Anne-8'!H20</f>
        <v>3489305</v>
      </c>
      <c r="I19" s="58">
        <f>'Anne-6'!S20+'Anne-7'!I20+'Anne-8'!I20</f>
        <v>2939485</v>
      </c>
      <c r="J19" s="58">
        <f>'Anne-6'!I20+'Anne-8'!M20</f>
        <v>6067506</v>
      </c>
      <c r="K19" s="58">
        <f>'Anne-7'!J20+'Anne-8'!J20</f>
        <v>2003902</v>
      </c>
      <c r="L19" s="58">
        <f>'Anne-6'!N20</f>
        <v>7778697</v>
      </c>
      <c r="M19" s="58">
        <f>'Anne-6'!K20</f>
        <v>1522927</v>
      </c>
      <c r="N19" s="218">
        <f>'Anne-6'!X20</f>
        <v>0</v>
      </c>
      <c r="O19" s="58"/>
      <c r="P19" s="58">
        <f>'Anne-7'!L20+'Anne-8'!L20</f>
        <v>541973</v>
      </c>
      <c r="Q19" s="58">
        <f>'Anne-4'!O19</f>
        <v>391794</v>
      </c>
      <c r="R19" s="58">
        <f>'Anne-6'!W20</f>
        <v>9730</v>
      </c>
      <c r="S19" s="58">
        <f t="shared" si="6"/>
        <v>24745319</v>
      </c>
      <c r="T19" s="58">
        <f t="shared" si="7"/>
        <v>35339777</v>
      </c>
      <c r="U19" s="152">
        <f t="shared" si="0"/>
        <v>62.23247617101247</v>
      </c>
      <c r="V19" s="152">
        <f t="shared" si="1"/>
        <v>21.231420304315865</v>
      </c>
      <c r="W19" s="152">
        <f t="shared" si="2"/>
        <v>31.708060665646485</v>
      </c>
      <c r="X19" s="152">
        <f>G19/(AA19*1000)*100</f>
        <v>31.708060665646485</v>
      </c>
      <c r="Y19" s="152">
        <f t="shared" si="8"/>
        <v>105.76810942347579</v>
      </c>
      <c r="Z19" s="153">
        <f>G19/T19*100</f>
        <v>29.97884791406579</v>
      </c>
      <c r="AA19" s="58">
        <f>AB19</f>
        <v>33412.50703319856</v>
      </c>
      <c r="AB19" s="58">
        <f t="shared" si="3"/>
        <v>33412.50703319856</v>
      </c>
      <c r="AC19" s="58">
        <f>'Anne-4'!Z19</f>
        <v>8537.605004498986</v>
      </c>
      <c r="AD19" s="58">
        <f>'Anne-4'!AA19</f>
        <v>24874.902028699573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2709884</v>
      </c>
      <c r="D20" s="60">
        <f>'Anne-8'!S21+'Anne-7'!R21+'Anne-7'!U21+'Anne-6'!AD21</f>
        <v>1351892</v>
      </c>
      <c r="E20" s="58">
        <f t="shared" si="5"/>
        <v>4061776</v>
      </c>
      <c r="F20" s="58"/>
      <c r="G20" s="58">
        <f>E20+E12</f>
        <v>5864895</v>
      </c>
      <c r="H20" s="58">
        <f>'Anne-6'!G21+'Anne-8'!H21</f>
        <v>9898719</v>
      </c>
      <c r="I20" s="58">
        <f>'Anne-6'!S21+'Anne-7'!I21+'Anne-8'!I21</f>
        <v>11577564</v>
      </c>
      <c r="J20" s="58">
        <f>'Anne-6'!I21+'Anne-8'!M21</f>
        <v>4101937</v>
      </c>
      <c r="K20" s="58">
        <f>'Anne-7'!J21+'Anne-8'!J21</f>
        <v>3952629</v>
      </c>
      <c r="L20" s="58">
        <f>'Anne-6'!N21</f>
        <v>14731226</v>
      </c>
      <c r="M20" s="58">
        <f>'Anne-6'!K21</f>
        <v>680866</v>
      </c>
      <c r="N20" s="218">
        <f>'Anne-6'!X21</f>
        <v>0</v>
      </c>
      <c r="O20" s="58"/>
      <c r="P20" s="58">
        <f>'Anne-7'!L21+'Anne-8'!L21</f>
        <v>3121</v>
      </c>
      <c r="Q20" s="58">
        <f>'Anne-4'!O20</f>
        <v>1313</v>
      </c>
      <c r="R20" s="58">
        <f>'Anne-6'!W21</f>
        <v>976589</v>
      </c>
      <c r="S20" s="58">
        <f t="shared" si="6"/>
        <v>45923964</v>
      </c>
      <c r="T20" s="58">
        <f t="shared" si="7"/>
        <v>51788859</v>
      </c>
      <c r="U20" s="152">
        <f t="shared" si="0"/>
        <v>13.165351848425091</v>
      </c>
      <c r="V20" s="152">
        <f t="shared" si="1"/>
        <v>2.5139850215658135</v>
      </c>
      <c r="W20" s="152">
        <f t="shared" si="2"/>
        <v>5.462436786131044</v>
      </c>
      <c r="X20" s="152">
        <f>G20/(AA20*1000)*100</f>
        <v>5.829085372423314</v>
      </c>
      <c r="Y20" s="152">
        <f t="shared" si="8"/>
        <v>51.472648777410924</v>
      </c>
      <c r="Z20" s="153">
        <f>G20/T20*100</f>
        <v>11.324626788939298</v>
      </c>
      <c r="AA20" s="58">
        <f>AB20+AB12</f>
        <v>100614.3266960216</v>
      </c>
      <c r="AB20" s="58">
        <f t="shared" si="3"/>
        <v>74358.31587676625</v>
      </c>
      <c r="AC20" s="58">
        <f>'Anne-4'!Z20</f>
        <v>20583.452924003475</v>
      </c>
      <c r="AD20" s="58">
        <f>'Anne-4'!AA20</f>
        <v>53774.86295276278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5719282</v>
      </c>
      <c r="D21" s="60">
        <f>'Anne-8'!S22+'Anne-7'!R22+'Anne-7'!U22+'Anne-6'!AD22</f>
        <v>3081261</v>
      </c>
      <c r="E21" s="58">
        <f>C21+D21</f>
        <v>8800543</v>
      </c>
      <c r="F21" s="58"/>
      <c r="G21" s="58">
        <f>E21</f>
        <v>8800543</v>
      </c>
      <c r="H21" s="58">
        <f>'Anne-6'!G22+'Anne-8'!H22</f>
        <v>9905867</v>
      </c>
      <c r="I21" s="58">
        <f>'Anne-6'!S22+'Anne-7'!I22+'Anne-8'!I22</f>
        <v>7932792</v>
      </c>
      <c r="J21" s="58">
        <f>'Anne-6'!I22+'Anne-8'!M22</f>
        <v>12979673</v>
      </c>
      <c r="K21" s="58">
        <f>'Anne-7'!J22+'Anne-8'!J22</f>
        <v>6765882</v>
      </c>
      <c r="L21" s="58">
        <f>'Anne-6'!N22</f>
        <v>15554910</v>
      </c>
      <c r="M21" s="58">
        <f>'Anne-6'!K22</f>
        <v>1116017</v>
      </c>
      <c r="N21" s="218">
        <f>'Anne-6'!X22</f>
        <v>0</v>
      </c>
      <c r="O21" s="58"/>
      <c r="P21" s="58">
        <f>'Anne-7'!L22+'Anne-8'!L22</f>
        <v>676571</v>
      </c>
      <c r="Q21" s="58">
        <f>'Anne-4'!O21</f>
        <v>5638910</v>
      </c>
      <c r="R21" s="58">
        <f>'Anne-6'!W22</f>
        <v>8683</v>
      </c>
      <c r="S21" s="58">
        <f t="shared" si="6"/>
        <v>60579305</v>
      </c>
      <c r="T21" s="58">
        <f t="shared" si="7"/>
        <v>69379848</v>
      </c>
      <c r="U21" s="152">
        <f t="shared" si="0"/>
        <v>18.10328126899028</v>
      </c>
      <c r="V21" s="152">
        <f t="shared" si="1"/>
        <v>5.128452702864281</v>
      </c>
      <c r="W21" s="152">
        <f t="shared" si="2"/>
        <v>9.599802935972507</v>
      </c>
      <c r="X21" s="152">
        <f>G21/(AA21*1000)*100</f>
        <v>9.599802935972507</v>
      </c>
      <c r="Y21" s="152">
        <f t="shared" si="8"/>
        <v>75.68088338727806</v>
      </c>
      <c r="Z21" s="153">
        <f>G21/T21*100</f>
        <v>12.684580975155782</v>
      </c>
      <c r="AA21" s="58">
        <f>AB21</f>
        <v>91674.2047591674</v>
      </c>
      <c r="AB21" s="58">
        <f t="shared" si="3"/>
        <v>91674.2047591674</v>
      </c>
      <c r="AC21" s="58">
        <f>'Anne-4'!Z21</f>
        <v>31592.51582638088</v>
      </c>
      <c r="AD21" s="58">
        <f>'Anne-4'!AA21</f>
        <v>60081.68893278652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694231</v>
      </c>
      <c r="D22" s="60">
        <f>'Anne-8'!S23+'Anne-7'!R23+'Anne-7'!U23+'Anne-6'!AD23</f>
        <v>353048</v>
      </c>
      <c r="E22" s="58">
        <f t="shared" si="5"/>
        <v>1047279</v>
      </c>
      <c r="F22" s="58"/>
      <c r="G22" s="58">
        <f>E22+E23</f>
        <v>1953858</v>
      </c>
      <c r="H22" s="58">
        <f>'Anne-6'!G23+'Anne-8'!H23</f>
        <v>2573994</v>
      </c>
      <c r="I22" s="58">
        <f>'Anne-6'!S23+'Anne-7'!I23+'Anne-8'!I23</f>
        <v>830331</v>
      </c>
      <c r="J22" s="58">
        <f>'Anne-6'!I23+'Anne-8'!M23</f>
        <v>928563</v>
      </c>
      <c r="K22" s="58">
        <f>'Anne-7'!J23+'Anne-8'!J23</f>
        <v>77452</v>
      </c>
      <c r="L22" s="58">
        <f>'Anne-6'!N23</f>
        <v>257734</v>
      </c>
      <c r="M22" s="58">
        <f>'Anne-6'!K23</f>
        <v>2334209</v>
      </c>
      <c r="N22" s="218">
        <f>'Anne-6'!X23</f>
        <v>0</v>
      </c>
      <c r="O22" s="58"/>
      <c r="P22" s="58">
        <f>'Anne-7'!L23+'Anne-8'!L23</f>
        <v>151</v>
      </c>
      <c r="Q22" s="58">
        <f>'Anne-4'!O22</f>
        <v>90</v>
      </c>
      <c r="R22" s="58">
        <f>'Anne-6'!W23</f>
        <v>0</v>
      </c>
      <c r="S22" s="58">
        <f t="shared" si="6"/>
        <v>7002524</v>
      </c>
      <c r="T22" s="58">
        <f t="shared" si="7"/>
        <v>8956382</v>
      </c>
      <c r="U22" s="152">
        <f t="shared" si="0"/>
        <v>36.03797300653885</v>
      </c>
      <c r="V22" s="152">
        <f t="shared" si="1"/>
        <v>5.889370899398895</v>
      </c>
      <c r="W22" s="152">
        <f t="shared" si="2"/>
        <v>13.221464299574762</v>
      </c>
      <c r="X22" s="152">
        <f>G22/(AA22*1000)*100</f>
        <v>13.865781402709018</v>
      </c>
      <c r="Y22" s="152">
        <f t="shared" si="8"/>
        <v>63.560010487536864</v>
      </c>
      <c r="Z22" s="153">
        <f>G22/T22*100</f>
        <v>21.81525977788799</v>
      </c>
      <c r="AA22" s="58">
        <f>AB22+AB23</f>
        <v>14091.221715194977</v>
      </c>
      <c r="AB22" s="58">
        <f t="shared" si="3"/>
        <v>7921.051528563923</v>
      </c>
      <c r="AC22" s="58">
        <f>'Anne-4'!Z22</f>
        <v>1926.387479878617</v>
      </c>
      <c r="AD22" s="58">
        <f>'Anne-4'!AA22</f>
        <v>5994.664048685306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543184</v>
      </c>
      <c r="D23" s="60">
        <f>'Anne-8'!S24+'Anne-7'!R24+'Anne-7'!U24+'Anne-6'!AD24</f>
        <v>363395</v>
      </c>
      <c r="E23" s="58">
        <f t="shared" si="5"/>
        <v>906579</v>
      </c>
      <c r="F23" s="58"/>
      <c r="G23" s="380" t="s">
        <v>196</v>
      </c>
      <c r="H23" s="380" t="s">
        <v>196</v>
      </c>
      <c r="I23" s="380" t="s">
        <v>196</v>
      </c>
      <c r="J23" s="380" t="s">
        <v>196</v>
      </c>
      <c r="K23" s="380" t="s">
        <v>196</v>
      </c>
      <c r="L23" s="380" t="s">
        <v>196</v>
      </c>
      <c r="M23" s="380" t="s">
        <v>196</v>
      </c>
      <c r="N23" s="380" t="s">
        <v>196</v>
      </c>
      <c r="O23" s="380" t="s">
        <v>196</v>
      </c>
      <c r="P23" s="380" t="s">
        <v>196</v>
      </c>
      <c r="Q23" s="380" t="s">
        <v>196</v>
      </c>
      <c r="R23" s="380" t="s">
        <v>196</v>
      </c>
      <c r="S23" s="380" t="s">
        <v>196</v>
      </c>
      <c r="T23" s="380" t="s">
        <v>196</v>
      </c>
      <c r="U23" s="152">
        <f t="shared" si="0"/>
        <v>37.027846483491714</v>
      </c>
      <c r="V23" s="152">
        <f t="shared" si="1"/>
        <v>7.726532492775222</v>
      </c>
      <c r="W23" s="152">
        <f t="shared" si="2"/>
        <v>14.692933461775336</v>
      </c>
      <c r="X23" s="152"/>
      <c r="Y23" s="152"/>
      <c r="Z23" s="153"/>
      <c r="AA23" s="58"/>
      <c r="AB23" s="58">
        <f t="shared" si="3"/>
        <v>6170.170186631055</v>
      </c>
      <c r="AC23" s="58">
        <f>'Anne-4'!Z23</f>
        <v>1466.9608189127878</v>
      </c>
      <c r="AD23" s="58">
        <f>'Anne-4'!AA23</f>
        <v>4703.2093677182675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2861758</v>
      </c>
      <c r="D24" s="60">
        <f>'Anne-8'!S25+'Anne-7'!R25+'Anne-7'!U25+'Anne-6'!AD25</f>
        <v>1961149</v>
      </c>
      <c r="E24" s="58">
        <f t="shared" si="5"/>
        <v>4822907</v>
      </c>
      <c r="F24" s="58"/>
      <c r="G24" s="58">
        <f>E24</f>
        <v>4822907</v>
      </c>
      <c r="H24" s="58">
        <f>'Anne-6'!G25+'Anne-8'!H25</f>
        <v>6652023</v>
      </c>
      <c r="I24" s="58">
        <f>'Anne-6'!S25+'Anne-7'!I25+'Anne-8'!I25</f>
        <v>3816800</v>
      </c>
      <c r="J24" s="58">
        <f>'Anne-6'!I25+'Anne-8'!M25</f>
        <v>2789785</v>
      </c>
      <c r="K24" s="58">
        <f>'Anne-7'!J25+'Anne-8'!J25</f>
        <v>2212554</v>
      </c>
      <c r="L24" s="58">
        <f>'Anne-6'!N25</f>
        <v>911343</v>
      </c>
      <c r="M24" s="58">
        <f>'Anne-6'!K25</f>
        <v>2791997</v>
      </c>
      <c r="N24" s="218">
        <f>'Anne-6'!X25</f>
        <v>0</v>
      </c>
      <c r="O24" s="58"/>
      <c r="P24" s="58">
        <f>'Anne-7'!L25+'Anne-8'!L25</f>
        <v>803</v>
      </c>
      <c r="Q24" s="58">
        <f>'Anne-4'!O24</f>
        <v>703260</v>
      </c>
      <c r="R24" s="58">
        <f>'Anne-6'!W25</f>
        <v>10673</v>
      </c>
      <c r="S24" s="58">
        <f t="shared" si="6"/>
        <v>19889238</v>
      </c>
      <c r="T24" s="58">
        <f t="shared" si="7"/>
        <v>24712145</v>
      </c>
      <c r="U24" s="152">
        <f t="shared" si="0"/>
        <v>40.137086476473314</v>
      </c>
      <c r="V24" s="152">
        <f t="shared" si="1"/>
        <v>5.540400391158024</v>
      </c>
      <c r="W24" s="152">
        <f t="shared" si="2"/>
        <v>11.340757675449405</v>
      </c>
      <c r="X24" s="152">
        <f>G24/(AA24*1000)*100</f>
        <v>11.340757675449405</v>
      </c>
      <c r="Y24" s="152">
        <f t="shared" si="8"/>
        <v>58.109030111003314</v>
      </c>
      <c r="Z24" s="153">
        <f>G24/T24*100</f>
        <v>19.51634307746252</v>
      </c>
      <c r="AA24" s="58">
        <f>AB24</f>
        <v>42527.202661605945</v>
      </c>
      <c r="AB24" s="58">
        <f t="shared" si="3"/>
        <v>42527.202661605945</v>
      </c>
      <c r="AC24" s="58">
        <f>'Anne-4'!Z24</f>
        <v>7129.959474456231</v>
      </c>
      <c r="AD24" s="58">
        <f>'Anne-4'!AA24</f>
        <v>35397.24318714972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3275542</v>
      </c>
      <c r="D25" s="60">
        <f>'Anne-8'!S26+'Anne-7'!R26+'Anne-7'!U26+'Anne-6'!AD26</f>
        <v>2151852</v>
      </c>
      <c r="E25" s="58">
        <f t="shared" si="5"/>
        <v>5427394</v>
      </c>
      <c r="F25" s="58"/>
      <c r="G25" s="58">
        <f>E25</f>
        <v>5427394</v>
      </c>
      <c r="H25" s="58">
        <f>'Anne-6'!G26+'Anne-8'!H26</f>
        <v>6906623</v>
      </c>
      <c r="I25" s="58">
        <f>'Anne-6'!S26+'Anne-7'!I26+'Anne-8'!I26</f>
        <v>2867473</v>
      </c>
      <c r="J25" s="58">
        <f>'Anne-6'!I26+'Anne-8'!M26</f>
        <v>4310093</v>
      </c>
      <c r="K25" s="58">
        <f>'Anne-7'!J26+'Anne-8'!J26</f>
        <v>2509027</v>
      </c>
      <c r="L25" s="58">
        <f>'Anne-6'!N26</f>
        <v>5493576</v>
      </c>
      <c r="M25" s="58">
        <f>'Anne-6'!K26</f>
        <v>973252</v>
      </c>
      <c r="N25" s="218">
        <f>'Anne-6'!X26</f>
        <v>0</v>
      </c>
      <c r="O25" s="58">
        <f>'Anne-7'!K26+'Anne-8'!K26</f>
        <v>1880473</v>
      </c>
      <c r="P25" s="58">
        <f>'Anne-7'!L26+'Anne-8'!L26</f>
        <v>1147</v>
      </c>
      <c r="Q25" s="58">
        <f>'Anne-4'!O25</f>
        <v>430</v>
      </c>
      <c r="R25" s="58">
        <f>'Anne-6'!W26</f>
        <v>0</v>
      </c>
      <c r="S25" s="58">
        <f t="shared" si="6"/>
        <v>24942094</v>
      </c>
      <c r="T25" s="58">
        <f t="shared" si="7"/>
        <v>30369488</v>
      </c>
      <c r="U25" s="152">
        <f t="shared" si="0"/>
        <v>27.32510285502422</v>
      </c>
      <c r="V25" s="152">
        <f t="shared" si="1"/>
        <v>12.537391522709768</v>
      </c>
      <c r="W25" s="152">
        <f t="shared" si="2"/>
        <v>18.61835277363025</v>
      </c>
      <c r="X25" s="152">
        <f>G25/(AA25*1000)*100</f>
        <v>18.61835277363025</v>
      </c>
      <c r="Y25" s="152">
        <f t="shared" si="8"/>
        <v>104.18072488168919</v>
      </c>
      <c r="Z25" s="153">
        <f>G25/T25*100</f>
        <v>17.871206784915174</v>
      </c>
      <c r="AA25" s="58">
        <f>AB25</f>
        <v>29150.77432460613</v>
      </c>
      <c r="AB25" s="58">
        <f t="shared" si="3"/>
        <v>29150.77432460613</v>
      </c>
      <c r="AC25" s="58">
        <f>'Anne-4'!Z25</f>
        <v>11987.29980040215</v>
      </c>
      <c r="AD25" s="58">
        <f>'Anne-4'!AA25</f>
        <v>17163.47452420398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4653168</v>
      </c>
      <c r="D26" s="60">
        <f>'Anne-8'!S27+'Anne-7'!R27+'Anne-7'!U27+'Anne-6'!AD27</f>
        <v>2240373</v>
      </c>
      <c r="E26" s="58">
        <f t="shared" si="5"/>
        <v>6893541</v>
      </c>
      <c r="F26" s="58"/>
      <c r="G26" s="58">
        <f>E26</f>
        <v>6893541</v>
      </c>
      <c r="H26" s="58">
        <f>'Anne-6'!G27+'Anne-8'!H27</f>
        <v>14221353</v>
      </c>
      <c r="I26" s="58">
        <f>'Anne-6'!S27+'Anne-7'!I27+'Anne-8'!I27</f>
        <v>5404168</v>
      </c>
      <c r="J26" s="58">
        <f>'Anne-6'!I27+'Anne-8'!M27</f>
        <v>8565606</v>
      </c>
      <c r="K26" s="58">
        <f>'Anne-7'!J27+'Anne-8'!J27</f>
        <v>3078638</v>
      </c>
      <c r="L26" s="58">
        <f>'Anne-6'!N27</f>
        <v>4515251</v>
      </c>
      <c r="M26" s="58">
        <f>'Anne-6'!K27</f>
        <v>2712870</v>
      </c>
      <c r="N26" s="218">
        <f>'Anne-6'!X27</f>
        <v>0</v>
      </c>
      <c r="O26" s="58"/>
      <c r="P26" s="58">
        <f>'Anne-7'!L27+'Anne-8'!L27</f>
        <v>2257506</v>
      </c>
      <c r="Q26" s="58">
        <f>'Anne-4'!O26</f>
        <v>1045</v>
      </c>
      <c r="R26" s="58">
        <f>'Anne-6'!W27</f>
        <v>6687</v>
      </c>
      <c r="S26" s="58">
        <f t="shared" si="6"/>
        <v>40763124</v>
      </c>
      <c r="T26" s="58">
        <f t="shared" si="7"/>
        <v>47656665</v>
      </c>
      <c r="U26" s="152">
        <f t="shared" si="0"/>
        <v>27.6435126160333</v>
      </c>
      <c r="V26" s="152">
        <f t="shared" si="1"/>
        <v>4.181247216129803</v>
      </c>
      <c r="W26" s="152">
        <f t="shared" si="2"/>
        <v>9.789984256664008</v>
      </c>
      <c r="X26" s="152">
        <f>G26/(AA26*1000)*100</f>
        <v>9.789984256664008</v>
      </c>
      <c r="Y26" s="152">
        <f t="shared" si="8"/>
        <v>67.68045625247035</v>
      </c>
      <c r="Z26" s="153">
        <f>G26/T26*100</f>
        <v>14.465009248968638</v>
      </c>
      <c r="AA26" s="58">
        <f>AB26</f>
        <v>70414.21946422018</v>
      </c>
      <c r="AB26" s="58">
        <f t="shared" si="3"/>
        <v>70414.21946422018</v>
      </c>
      <c r="AC26" s="58">
        <f>'Anne-4'!Z26</f>
        <v>16832.766749407787</v>
      </c>
      <c r="AD26" s="58">
        <f>'Anne-4'!AA26</f>
        <v>53581.452714812396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7973085</v>
      </c>
      <c r="D27" s="60">
        <f>'Anne-8'!S28+'Anne-7'!R28+'Anne-7'!U28+'Anne-6'!AD28</f>
        <v>1484154</v>
      </c>
      <c r="E27" s="58">
        <f t="shared" si="5"/>
        <v>9457239</v>
      </c>
      <c r="F27" s="58"/>
      <c r="G27" s="58">
        <f>E27</f>
        <v>9457239</v>
      </c>
      <c r="H27" s="58">
        <f>'Anne-6'!G28+'Anne-8'!H28</f>
        <v>9834581</v>
      </c>
      <c r="I27" s="58">
        <f>'Anne-6'!S28+'Anne-7'!I28+'Anne-8'!I28</f>
        <v>5661992</v>
      </c>
      <c r="J27" s="58">
        <f>'Anne-6'!I28+'Anne-8'!M28</f>
        <v>9779217</v>
      </c>
      <c r="K27" s="58">
        <f>'Anne-7'!J28+'Anne-8'!J28</f>
        <v>4395401</v>
      </c>
      <c r="L27" s="58">
        <f>'Anne-6'!N28</f>
        <v>2172759</v>
      </c>
      <c r="M27" s="58">
        <f>'Anne-6'!K28</f>
        <v>17950019</v>
      </c>
      <c r="N27" s="218">
        <f>'Anne-6'!X28</f>
        <v>0</v>
      </c>
      <c r="O27" s="58"/>
      <c r="P27" s="58">
        <f>'Anne-7'!L28+'Anne-8'!L28</f>
        <v>1234562</v>
      </c>
      <c r="Q27" s="58">
        <f>'Anne-4'!O27</f>
        <v>803528</v>
      </c>
      <c r="R27" s="58">
        <f>'Anne-6'!W28</f>
        <v>515005</v>
      </c>
      <c r="S27" s="58">
        <f t="shared" si="6"/>
        <v>52347064</v>
      </c>
      <c r="T27" s="58">
        <f t="shared" si="7"/>
        <v>61804303</v>
      </c>
      <c r="U27" s="152">
        <f t="shared" si="0"/>
        <v>27.53997767949207</v>
      </c>
      <c r="V27" s="152">
        <f t="shared" si="1"/>
        <v>4.392779563738828</v>
      </c>
      <c r="W27" s="152">
        <f t="shared" si="2"/>
        <v>15.074380414072175</v>
      </c>
      <c r="X27" s="152">
        <f>G27/(AA27*1000)*100</f>
        <v>15.074380414072175</v>
      </c>
      <c r="Y27" s="152">
        <f t="shared" si="8"/>
        <v>98.51306228473048</v>
      </c>
      <c r="Z27" s="153">
        <f>G27/T27*100</f>
        <v>15.301910289320794</v>
      </c>
      <c r="AA27" s="58">
        <f>AB27</f>
        <v>62737.16557644728</v>
      </c>
      <c r="AB27" s="58">
        <f t="shared" si="3"/>
        <v>62737.16557644728</v>
      </c>
      <c r="AC27" s="58">
        <f>'Anne-4'!Z27</f>
        <v>28950.94938997442</v>
      </c>
      <c r="AD27" s="58">
        <f>'Anne-4'!AA27</f>
        <v>33786.21618647286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910396</v>
      </c>
      <c r="D28" s="60">
        <f>'Anne-8'!S29+'Anne-7'!R29+'Anne-7'!U29+'Anne-6'!AD29</f>
        <v>706922</v>
      </c>
      <c r="E28" s="58">
        <f t="shared" si="5"/>
        <v>1617318</v>
      </c>
      <c r="F28" s="58"/>
      <c r="G28" s="380" t="s">
        <v>196</v>
      </c>
      <c r="H28" s="380" t="s">
        <v>196</v>
      </c>
      <c r="I28" s="380" t="s">
        <v>196</v>
      </c>
      <c r="J28" s="380" t="s">
        <v>196</v>
      </c>
      <c r="K28" s="380" t="s">
        <v>196</v>
      </c>
      <c r="L28" s="380" t="s">
        <v>196</v>
      </c>
      <c r="M28" s="380" t="s">
        <v>196</v>
      </c>
      <c r="N28" s="380" t="s">
        <v>196</v>
      </c>
      <c r="O28" s="380" t="s">
        <v>196</v>
      </c>
      <c r="P28" s="380" t="s">
        <v>196</v>
      </c>
      <c r="Q28" s="380" t="s">
        <v>196</v>
      </c>
      <c r="R28" s="380" t="s">
        <v>196</v>
      </c>
      <c r="S28" s="380" t="s">
        <v>196</v>
      </c>
      <c r="T28" s="380" t="s">
        <v>196</v>
      </c>
      <c r="U28" s="152">
        <f t="shared" si="0"/>
        <v>31.034181715933983</v>
      </c>
      <c r="V28" s="152">
        <f t="shared" si="1"/>
        <v>9.540422748925808</v>
      </c>
      <c r="W28" s="152">
        <f t="shared" si="2"/>
        <v>15.63640990440836</v>
      </c>
      <c r="X28" s="152"/>
      <c r="Y28" s="152"/>
      <c r="Z28" s="153"/>
      <c r="AA28" s="58"/>
      <c r="AB28" s="58">
        <f t="shared" si="3"/>
        <v>10343.282184896105</v>
      </c>
      <c r="AC28" s="58">
        <f>'Anne-4'!Z28</f>
        <v>2933.526678206477</v>
      </c>
      <c r="AD28" s="58">
        <f>'Anne-4'!AA28</f>
        <v>7409.7555066896275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7808689</v>
      </c>
      <c r="D29" s="60">
        <f>'Anne-8'!S30+'Anne-7'!R30+'Anne-7'!U30+'Anne-6'!AD30</f>
        <v>3441197</v>
      </c>
      <c r="E29" s="58">
        <f t="shared" si="5"/>
        <v>11249886</v>
      </c>
      <c r="F29" s="58"/>
      <c r="G29" s="58">
        <f>E29</f>
        <v>11249886</v>
      </c>
      <c r="H29" s="58">
        <f>'Anne-6'!G30+'Anne-8'!H30</f>
        <v>14991193</v>
      </c>
      <c r="I29" s="58">
        <f>'Anne-6'!S30+'Anne-7'!I30+'Anne-8'!I30</f>
        <v>9688926</v>
      </c>
      <c r="J29" s="58">
        <f>'Anne-6'!I30+'Anne-8'!M30</f>
        <v>14526596</v>
      </c>
      <c r="K29" s="58">
        <f>'Anne-7'!J30+'Anne-8'!J30</f>
        <v>4155152</v>
      </c>
      <c r="L29" s="58">
        <f>'Anne-6'!N30</f>
        <v>6978230</v>
      </c>
      <c r="M29" s="58">
        <f>'Anne-6'!K30</f>
        <v>3589906</v>
      </c>
      <c r="N29" s="218">
        <f>'Anne-6'!X30</f>
        <v>0</v>
      </c>
      <c r="O29" s="58"/>
      <c r="P29" s="58">
        <f>'Anne-7'!L30+'Anne-8'!L30</f>
        <v>581226</v>
      </c>
      <c r="Q29" s="58">
        <f>'Anne-4'!O29</f>
        <v>7262667</v>
      </c>
      <c r="R29" s="58">
        <f>'Anne-6'!W30</f>
        <v>14635</v>
      </c>
      <c r="S29" s="58">
        <f t="shared" si="6"/>
        <v>61788531</v>
      </c>
      <c r="T29" s="58">
        <f t="shared" si="7"/>
        <v>73038417</v>
      </c>
      <c r="U29" s="152">
        <f t="shared" si="0"/>
        <v>33.31499928449296</v>
      </c>
      <c r="V29" s="152">
        <f t="shared" si="1"/>
        <v>2.99680509355081</v>
      </c>
      <c r="W29" s="152">
        <f t="shared" si="2"/>
        <v>8.136301293626552</v>
      </c>
      <c r="X29" s="152">
        <f aca="true" t="shared" si="9" ref="X29:X37">G29/(AA29*1000)*100</f>
        <v>8.136301293626552</v>
      </c>
      <c r="Y29" s="152">
        <f t="shared" si="8"/>
        <v>52.82387454606523</v>
      </c>
      <c r="Z29" s="153">
        <f aca="true" t="shared" si="10" ref="Z29:Z34">G29/T29*100</f>
        <v>15.40269691222908</v>
      </c>
      <c r="AA29" s="58">
        <f>AB29</f>
        <v>138267.81474786863</v>
      </c>
      <c r="AB29" s="58">
        <f t="shared" si="3"/>
        <v>138267.81474786863</v>
      </c>
      <c r="AC29" s="58">
        <f>'Anne-4'!Z29</f>
        <v>23438.958930533994</v>
      </c>
      <c r="AD29" s="58">
        <f>'Anne-4'!AA29</f>
        <v>114828.85581733464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4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3078270</v>
      </c>
      <c r="D30" s="60">
        <f>'Anne-8'!S31+'Anne-7'!R31+'Anne-7'!U31+'Anne-6'!AD31</f>
        <v>968316</v>
      </c>
      <c r="E30" s="58">
        <f t="shared" si="5"/>
        <v>4046586</v>
      </c>
      <c r="F30" s="58"/>
      <c r="G30" s="58">
        <f>E30+E28</f>
        <v>5663904</v>
      </c>
      <c r="H30" s="58">
        <f>'Anne-6'!G31+'Anne-8'!H31</f>
        <v>6437709</v>
      </c>
      <c r="I30" s="58">
        <f>'Anne-6'!S31+'Anne-7'!I31+'Anne-8'!I31</f>
        <v>6652834</v>
      </c>
      <c r="J30" s="58">
        <f>'Anne-6'!I31+'Anne-8'!M31</f>
        <v>8999073</v>
      </c>
      <c r="K30" s="58">
        <f>'Anne-7'!J31+'Anne-8'!J31</f>
        <v>4034782</v>
      </c>
      <c r="L30" s="58">
        <f>'Anne-6'!N31</f>
        <v>10189727</v>
      </c>
      <c r="M30" s="58">
        <f>'Anne-6'!K31</f>
        <v>1509375</v>
      </c>
      <c r="N30" s="218">
        <f>'Anne-6'!X31</f>
        <v>0</v>
      </c>
      <c r="O30" s="58"/>
      <c r="P30" s="58">
        <f>'Anne-7'!L31+'Anne-8'!L31</f>
        <v>617722</v>
      </c>
      <c r="Q30" s="58">
        <f>'Anne-4'!O30</f>
        <v>5001245</v>
      </c>
      <c r="R30" s="58">
        <f>'Anne-6'!W31</f>
        <v>5343</v>
      </c>
      <c r="S30" s="58">
        <f t="shared" si="6"/>
        <v>43447810</v>
      </c>
      <c r="T30" s="58">
        <f t="shared" si="7"/>
        <v>49111714</v>
      </c>
      <c r="U30" s="152">
        <f t="shared" si="0"/>
        <v>14.162067324184427</v>
      </c>
      <c r="V30" s="152">
        <f t="shared" si="1"/>
        <v>2.183392746289239</v>
      </c>
      <c r="W30" s="152">
        <f t="shared" si="2"/>
        <v>6.123289469668791</v>
      </c>
      <c r="X30" s="152">
        <f t="shared" si="9"/>
        <v>7.410727480998744</v>
      </c>
      <c r="Y30" s="152">
        <f t="shared" si="8"/>
        <v>64.2584211488667</v>
      </c>
      <c r="Z30" s="153">
        <f t="shared" si="10"/>
        <v>11.532694623527087</v>
      </c>
      <c r="AA30" s="58">
        <f>AB30+AB28</f>
        <v>76428.44801029812</v>
      </c>
      <c r="AB30" s="58">
        <f t="shared" si="3"/>
        <v>66085.16582540201</v>
      </c>
      <c r="AC30" s="58">
        <f>'Anne-4'!Z30</f>
        <v>21736.02151109159</v>
      </c>
      <c r="AD30" s="58">
        <f>'Anne-4'!AA30</f>
        <v>44349.14431431042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1980211</v>
      </c>
      <c r="D31" s="60">
        <f>'Anne-8'!S32+'Anne-7'!R32+'Anne-7'!U32+'Anne-6'!AD32</f>
        <v>2003037</v>
      </c>
      <c r="E31" s="58">
        <f t="shared" si="5"/>
        <v>3983248</v>
      </c>
      <c r="F31" s="58"/>
      <c r="G31" s="58">
        <f>E31+E8</f>
        <v>4207253</v>
      </c>
      <c r="H31" s="58">
        <f>'Anne-6'!G32+'Anne-8'!H32</f>
        <v>8726562</v>
      </c>
      <c r="I31" s="58">
        <f>'Anne-6'!S32+'Anne-7'!I32+'Anne-8'!I32</f>
        <v>6701429</v>
      </c>
      <c r="J31" s="58">
        <f>'Anne-6'!I32+'Anne-8'!M32</f>
        <v>11165667</v>
      </c>
      <c r="K31" s="58">
        <f>'Anne-7'!J32+'Anne-8'!J32</f>
        <v>2146747</v>
      </c>
      <c r="L31" s="58">
        <f>'Anne-6'!N32</f>
        <v>2203390</v>
      </c>
      <c r="M31" s="58">
        <f>'Anne-6'!K32</f>
        <v>2982409</v>
      </c>
      <c r="N31" s="218">
        <f>'Anne-6'!X32</f>
        <v>0</v>
      </c>
      <c r="O31" s="58"/>
      <c r="P31" s="58">
        <f>'Anne-7'!L32+'Anne-8'!L32</f>
        <v>1949509</v>
      </c>
      <c r="Q31" s="58">
        <f>'Anne-4'!O31</f>
        <v>3570869</v>
      </c>
      <c r="R31" s="58">
        <f>'Anne-6'!W32</f>
        <v>16506</v>
      </c>
      <c r="S31" s="58">
        <f t="shared" si="6"/>
        <v>39463088</v>
      </c>
      <c r="T31" s="58">
        <f t="shared" si="7"/>
        <v>43670341</v>
      </c>
      <c r="U31" s="152">
        <f t="shared" si="0"/>
        <v>18.136129987957457</v>
      </c>
      <c r="V31" s="152">
        <f t="shared" si="1"/>
        <v>3.0001434294319127</v>
      </c>
      <c r="W31" s="152">
        <f t="shared" si="2"/>
        <v>5.12754701257989</v>
      </c>
      <c r="X31" s="152">
        <f t="shared" si="9"/>
        <v>5.38949628270563</v>
      </c>
      <c r="Y31" s="152">
        <f t="shared" si="8"/>
        <v>55.94176068897859</v>
      </c>
      <c r="Z31" s="153">
        <f t="shared" si="10"/>
        <v>9.634119870966888</v>
      </c>
      <c r="AA31" s="58">
        <f>AB31+AB8</f>
        <v>78063.9373200918</v>
      </c>
      <c r="AB31" s="58">
        <f t="shared" si="3"/>
        <v>77683.30529642198</v>
      </c>
      <c r="AC31" s="58">
        <f>'Anne-4'!Z31</f>
        <v>10918.597304468354</v>
      </c>
      <c r="AD31" s="58">
        <f>'Anne-4'!AA31</f>
        <v>66764.70799195363</v>
      </c>
      <c r="AE31" s="58">
        <v>9329940.33700887</v>
      </c>
      <c r="AF31" s="58">
        <v>58215178.05927157</v>
      </c>
      <c r="AG31" s="58">
        <f t="shared" si="4"/>
        <v>67545118.39628044</v>
      </c>
      <c r="AI31" s="73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3253887</v>
      </c>
      <c r="D32" s="60">
        <f>'Anne-8'!S33+'Anne-7'!R33+'Anne-7'!U33+'Anne-6'!AD33</f>
        <v>0</v>
      </c>
      <c r="E32" s="58">
        <f t="shared" si="5"/>
        <v>3253887</v>
      </c>
      <c r="F32" s="58"/>
      <c r="G32" s="58">
        <f>E32</f>
        <v>3253887</v>
      </c>
      <c r="H32" s="58">
        <f>'Anne-6'!G33+'Anne-8'!H33</f>
        <v>3673424</v>
      </c>
      <c r="I32" s="58">
        <f>'Anne-6'!S33+'Anne-7'!I33+'Anne-8'!I33</f>
        <v>4234313</v>
      </c>
      <c r="J32" s="58">
        <f>'Anne-6'!I33+'Anne-8'!M33</f>
        <v>4085514</v>
      </c>
      <c r="K32" s="58">
        <f>'Anne-7'!J33+'Anne-8'!J33</f>
        <v>2840995</v>
      </c>
      <c r="L32" s="58">
        <f>'Anne-6'!N33</f>
        <v>1153806</v>
      </c>
      <c r="M32" s="58">
        <f>'Anne-6'!K33</f>
        <v>1858443</v>
      </c>
      <c r="N32" s="218">
        <f>'Anne-6'!X33</f>
        <v>0</v>
      </c>
      <c r="O32" s="58"/>
      <c r="P32" s="58">
        <f>'Anne-7'!L33+'Anne-8'!L33</f>
        <v>887156</v>
      </c>
      <c r="Q32" s="58">
        <f>'Anne-4'!O32</f>
        <v>1774330</v>
      </c>
      <c r="R32" s="58">
        <f>'Anne-6'!W33</f>
        <v>12</v>
      </c>
      <c r="S32" s="58">
        <f t="shared" si="6"/>
        <v>20507993</v>
      </c>
      <c r="T32" s="58">
        <f t="shared" si="7"/>
        <v>23761880</v>
      </c>
      <c r="U32" s="152">
        <f>C32/(AC32*1000)*100</f>
        <v>20.944714840021366</v>
      </c>
      <c r="V32" s="152"/>
      <c r="W32" s="152">
        <f t="shared" si="2"/>
        <v>20.944714840021366</v>
      </c>
      <c r="X32" s="152">
        <f t="shared" si="9"/>
        <v>20.944714840021366</v>
      </c>
      <c r="Y32" s="152">
        <f t="shared" si="8"/>
        <v>152.9511629207796</v>
      </c>
      <c r="Z32" s="153">
        <f t="shared" si="10"/>
        <v>13.693727095667516</v>
      </c>
      <c r="AA32" s="58">
        <f>AB32</f>
        <v>15535.599433335045</v>
      </c>
      <c r="AB32" s="58">
        <f t="shared" si="3"/>
        <v>15535.599433335045</v>
      </c>
      <c r="AC32" s="58">
        <f>'Anne-4'!Z32</f>
        <v>15535.599433335045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2330316</v>
      </c>
      <c r="D33" s="60">
        <f>'Anne-8'!S34+'Anne-7'!R34+'Anne-7'!U34+'Anne-6'!AD34</f>
        <v>79008</v>
      </c>
      <c r="E33" s="58">
        <f t="shared" si="5"/>
        <v>2409324</v>
      </c>
      <c r="F33" s="58"/>
      <c r="G33" s="58">
        <f>E33</f>
        <v>2409324</v>
      </c>
      <c r="H33" s="58">
        <f>'Anne-6'!G34+'Anne-8'!H34</f>
        <v>3969426</v>
      </c>
      <c r="I33" s="58">
        <f>'Anne-6'!S34+'Anne-7'!I34+'Anne-8'!I34</f>
        <v>945464</v>
      </c>
      <c r="J33" s="58">
        <f>'Anne-6'!I34+'Anne-8'!M34</f>
        <v>2091411</v>
      </c>
      <c r="K33" s="58">
        <f>'Anne-7'!J34+'Anne-8'!J34</f>
        <v>1423820</v>
      </c>
      <c r="L33" s="58">
        <f>'Anne-6'!N34</f>
        <v>0</v>
      </c>
      <c r="M33" s="58">
        <f>'Anne-6'!K34</f>
        <v>3775087</v>
      </c>
      <c r="N33" s="218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12205208</v>
      </c>
      <c r="T33" s="58">
        <f t="shared" si="7"/>
        <v>14614532</v>
      </c>
      <c r="U33" s="152">
        <f>C33/(AC33*1000)*100</f>
        <v>19.61116479205842</v>
      </c>
      <c r="V33" s="152"/>
      <c r="W33" s="152">
        <f t="shared" si="2"/>
        <v>20.27606985553091</v>
      </c>
      <c r="X33" s="152">
        <f t="shared" si="9"/>
        <v>20.27606985553091</v>
      </c>
      <c r="Y33" s="152">
        <f t="shared" si="8"/>
        <v>122.9910430219812</v>
      </c>
      <c r="Z33" s="153">
        <f t="shared" si="10"/>
        <v>16.485810151156397</v>
      </c>
      <c r="AA33" s="58">
        <f>AB33</f>
        <v>11882.598635567358</v>
      </c>
      <c r="AB33" s="58">
        <f t="shared" si="3"/>
        <v>11882.598635567358</v>
      </c>
      <c r="AC33" s="58">
        <f>'Anne-4'!Z33</f>
        <v>11882.598635567358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7">
        <f aca="true" t="shared" si="11" ref="C34:J34">SUM(C8:C33)</f>
        <v>79526315</v>
      </c>
      <c r="D34" s="87">
        <f t="shared" si="11"/>
        <v>41437136</v>
      </c>
      <c r="E34" s="58">
        <f t="shared" si="11"/>
        <v>120963451</v>
      </c>
      <c r="F34" s="58">
        <f>SUM(F8:F33)</f>
        <v>0</v>
      </c>
      <c r="G34" s="58">
        <f>SUM(G8:G33)</f>
        <v>120963451</v>
      </c>
      <c r="H34" s="58">
        <f>'Anne-6'!G35+'Anne-8'!H35</f>
        <v>171260262</v>
      </c>
      <c r="I34" s="58">
        <f>'Anne-6'!S35+'Anne-7'!I35+'Anne-8'!I35</f>
        <v>105958197</v>
      </c>
      <c r="J34" s="58">
        <f t="shared" si="11"/>
        <v>132881367</v>
      </c>
      <c r="K34" s="58">
        <f>'Anne-7'!J35+'Anne-8'!J35</f>
        <v>63172716</v>
      </c>
      <c r="L34" s="58">
        <f>'Anne-6'!N35</f>
        <v>106492157</v>
      </c>
      <c r="M34" s="58">
        <f>'Anne-6'!K35</f>
        <v>59004470</v>
      </c>
      <c r="N34" s="218">
        <f>'Anne-6'!X35</f>
        <v>0</v>
      </c>
      <c r="O34" s="58">
        <f>'Anne-7'!K35+'Anne-8'!K35</f>
        <v>1880473</v>
      </c>
      <c r="P34" s="58">
        <f>SUM(P8:P33)</f>
        <v>13507285</v>
      </c>
      <c r="Q34" s="58">
        <f>'Anne-4'!O34</f>
        <v>39678780</v>
      </c>
      <c r="R34" s="58">
        <f>'Anne-6'!W35</f>
        <v>3215161</v>
      </c>
      <c r="S34" s="58">
        <f t="shared" si="6"/>
        <v>697050868</v>
      </c>
      <c r="T34" s="58">
        <f>SUM(T8:T33)</f>
        <v>818014319</v>
      </c>
      <c r="U34" s="155">
        <f>C34/(AC34*1000)*100</f>
        <v>24.06453365510802</v>
      </c>
      <c r="V34" s="155">
        <f>D34/(AD34*1000)*100</f>
        <v>4.802298551513645</v>
      </c>
      <c r="W34" s="155">
        <f t="shared" si="2"/>
        <v>10.136617488403791</v>
      </c>
      <c r="X34" s="155">
        <f t="shared" si="9"/>
        <v>10.136617488403791</v>
      </c>
      <c r="Y34" s="155">
        <f t="shared" si="8"/>
        <v>68.54879042546594</v>
      </c>
      <c r="Z34" s="155">
        <f t="shared" si="10"/>
        <v>14.787449093540866</v>
      </c>
      <c r="AA34" s="58">
        <f aca="true" t="shared" si="12" ref="AA34:AG34">SUM(AA8:AA33)</f>
        <v>1193331.5145647079</v>
      </c>
      <c r="AB34" s="58">
        <f t="shared" si="12"/>
        <v>1193331.5145647079</v>
      </c>
      <c r="AC34" s="64">
        <f t="shared" si="12"/>
        <v>330471.0414910512</v>
      </c>
      <c r="AD34" s="64">
        <f t="shared" si="12"/>
        <v>862860.4730736567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4174392</v>
      </c>
      <c r="G35" s="88">
        <f>F35</f>
        <v>4174392</v>
      </c>
      <c r="H35" s="58">
        <f>'Anne-6'!G36+'Anne-8'!H36</f>
        <v>10109922</v>
      </c>
      <c r="I35" s="58">
        <f>'Anne-6'!S36+'Anne-7'!I36+'Anne-8'!I36</f>
        <v>7611058</v>
      </c>
      <c r="J35" s="58">
        <f>'Anne-6'!I36+'Anne-8'!M36</f>
        <v>8456650</v>
      </c>
      <c r="K35" s="58">
        <f>'Anne-7'!J36+'Anne-8'!J36</f>
        <v>3844079</v>
      </c>
      <c r="L35" s="58">
        <f>'Anne-6'!N36</f>
        <v>4650742</v>
      </c>
      <c r="M35" s="58">
        <f>'Anne-6'!K36</f>
        <v>2951145</v>
      </c>
      <c r="N35" s="218">
        <f>'Anne-6'!X36</f>
        <v>0</v>
      </c>
      <c r="O35" s="58">
        <f>'Anne-7'!K36+'Anne-8'!K36</f>
        <v>0</v>
      </c>
      <c r="P35" s="58">
        <f>'Anne-7'!L36+'Anne-8'!L36</f>
        <v>962588</v>
      </c>
      <c r="Q35" s="58">
        <f>'Anne-4'!O35</f>
        <v>0</v>
      </c>
      <c r="R35" s="58">
        <f>'Anne-6'!W36</f>
        <v>0</v>
      </c>
      <c r="S35" s="58">
        <f t="shared" si="6"/>
        <v>38586184</v>
      </c>
      <c r="T35" s="58">
        <f>G35+S35</f>
        <v>42760576</v>
      </c>
      <c r="U35" s="152"/>
      <c r="V35" s="152"/>
      <c r="W35" s="152"/>
      <c r="X35" s="152">
        <f t="shared" si="9"/>
        <v>24.30111369377172</v>
      </c>
      <c r="Y35" s="152">
        <f t="shared" si="8"/>
        <v>248.92957321381562</v>
      </c>
      <c r="Z35" s="153"/>
      <c r="AA35" s="58">
        <f>AB35</f>
        <v>17177.780626037234</v>
      </c>
      <c r="AB35" s="58">
        <f>AC35+AD35</f>
        <v>17177.780626037234</v>
      </c>
      <c r="AC35" s="58">
        <f>'Anne-4'!Z35</f>
        <v>16392.95221198112</v>
      </c>
      <c r="AD35" s="58">
        <f>'Anne-4'!AA35</f>
        <v>784.8284140561169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9"/>
      <c r="E36" s="58"/>
      <c r="F36" s="58">
        <f>'Anne-8'!E37+'Anne-7'!G37+'Anne-6'!E37</f>
        <v>4582102</v>
      </c>
      <c r="G36" s="88">
        <f>F36</f>
        <v>4582102</v>
      </c>
      <c r="H36" s="58">
        <f>'Anne-6'!G37+'Anne-8'!H37</f>
        <v>3815083</v>
      </c>
      <c r="I36" s="58">
        <f>'Anne-6'!S37+'Anne-7'!I37+'Anne-8'!I37</f>
        <v>6217753</v>
      </c>
      <c r="J36" s="58">
        <f>'Anne-6'!I37+'Anne-8'!M37</f>
        <v>6166893</v>
      </c>
      <c r="K36" s="58">
        <f>'Anne-7'!J37+'Anne-8'!J37</f>
        <v>4031160</v>
      </c>
      <c r="L36" s="58">
        <f>'Anne-6'!N37</f>
        <v>2803928</v>
      </c>
      <c r="M36" s="58">
        <f>'Anne-6'!K37</f>
        <v>1391669</v>
      </c>
      <c r="N36" s="218">
        <f>'Anne-6'!X37</f>
        <v>3028539</v>
      </c>
      <c r="O36" s="58">
        <f>'Anne-7'!K37+'Anne-8'!K37</f>
        <v>0</v>
      </c>
      <c r="P36" s="58">
        <f>'Anne-7'!L37+'Anne-8'!L37</f>
        <v>459822</v>
      </c>
      <c r="Q36" s="58">
        <f>'Anne-4'!O36</f>
        <v>1841764</v>
      </c>
      <c r="R36" s="58">
        <f>'Anne-6'!W37</f>
        <v>425151</v>
      </c>
      <c r="S36" s="58">
        <f t="shared" si="6"/>
        <v>30181762</v>
      </c>
      <c r="T36" s="58">
        <f>G36+S36</f>
        <v>34763864</v>
      </c>
      <c r="U36" s="152"/>
      <c r="V36" s="152"/>
      <c r="W36" s="152"/>
      <c r="X36" s="152">
        <f t="shared" si="9"/>
        <v>19.020691122363136</v>
      </c>
      <c r="Y36" s="152">
        <f t="shared" si="8"/>
        <v>144.3077258786119</v>
      </c>
      <c r="Z36" s="153"/>
      <c r="AA36" s="58">
        <f>AB36</f>
        <v>24090.092050402418</v>
      </c>
      <c r="AB36" s="58">
        <f>AC36+AD36</f>
        <v>24090.092050402418</v>
      </c>
      <c r="AC36" s="58">
        <f>'Anne-4'!Z36</f>
        <v>24090.092050402418</v>
      </c>
      <c r="AD36" s="58">
        <f>'Anne-4'!AA36</f>
        <v>0</v>
      </c>
      <c r="AE36" s="58">
        <v>6424623.633861813</v>
      </c>
      <c r="AF36" s="61">
        <v>4074054.461012357</v>
      </c>
      <c r="AG36" s="67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79526315</v>
      </c>
      <c r="D37" s="58">
        <f t="shared" si="13"/>
        <v>41437136</v>
      </c>
      <c r="E37" s="58">
        <f t="shared" si="13"/>
        <v>120963451</v>
      </c>
      <c r="F37" s="58">
        <f t="shared" si="13"/>
        <v>8756494</v>
      </c>
      <c r="G37" s="58">
        <f>SUM(G34:G36)</f>
        <v>129719945</v>
      </c>
      <c r="H37" s="58">
        <f t="shared" si="13"/>
        <v>185185267</v>
      </c>
      <c r="I37" s="58">
        <f t="shared" si="13"/>
        <v>119787008</v>
      </c>
      <c r="J37" s="58">
        <f t="shared" si="13"/>
        <v>147504910</v>
      </c>
      <c r="K37" s="58">
        <f>'Anne-7'!J38+'Anne-8'!J38</f>
        <v>71047955</v>
      </c>
      <c r="L37" s="58">
        <f>SUM(L34:L36)</f>
        <v>113946827</v>
      </c>
      <c r="M37" s="58">
        <f>SUM(M34:M36)</f>
        <v>63347284</v>
      </c>
      <c r="N37" s="218">
        <f>'Anne-6'!X38</f>
        <v>3028539</v>
      </c>
      <c r="O37" s="58">
        <f>SUM(O34:O36)</f>
        <v>1880473</v>
      </c>
      <c r="P37" s="58">
        <f>SUM(P34:P36)</f>
        <v>14929695</v>
      </c>
      <c r="Q37" s="58">
        <f>'Anne-4'!O37</f>
        <v>41520544</v>
      </c>
      <c r="R37" s="58">
        <f>'Anne-6'!W38</f>
        <v>3640312</v>
      </c>
      <c r="S37" s="58">
        <f t="shared" si="6"/>
        <v>765818814</v>
      </c>
      <c r="T37" s="58">
        <f>SUM(T34:T36)</f>
        <v>895538759</v>
      </c>
      <c r="U37" s="155">
        <f>C34/(AC34*1000)*100</f>
        <v>24.06453365510802</v>
      </c>
      <c r="V37" s="155">
        <f>D34/(AD34*1000)*100</f>
        <v>4.802298551513645</v>
      </c>
      <c r="W37" s="155">
        <f>E34/(AB34*1000)*100</f>
        <v>10.136617488403791</v>
      </c>
      <c r="X37" s="155">
        <f t="shared" si="9"/>
        <v>10.507047576775001</v>
      </c>
      <c r="Y37" s="155">
        <f t="shared" si="8"/>
        <v>72.53678952499588</v>
      </c>
      <c r="Z37" s="155">
        <f>G34/T37*100</f>
        <v>13.507338435588581</v>
      </c>
      <c r="AA37" s="67">
        <f aca="true" t="shared" si="14" ref="AA37:AG37">SUM(AA34:AA36)</f>
        <v>1234599.3872411475</v>
      </c>
      <c r="AB37" s="58">
        <f t="shared" si="14"/>
        <v>1234599.3872411475</v>
      </c>
      <c r="AC37" s="58">
        <f t="shared" si="14"/>
        <v>370954.08575343475</v>
      </c>
      <c r="AD37" s="58">
        <f t="shared" si="14"/>
        <v>863645.3014877128</v>
      </c>
      <c r="AE37" s="68">
        <f t="shared" si="14"/>
        <v>262329816.71973336</v>
      </c>
      <c r="AF37" s="68">
        <f t="shared" si="14"/>
        <v>744788740.2019173</v>
      </c>
      <c r="AG37" s="68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5"/>
      <c r="V38" s="65"/>
      <c r="W38" s="65"/>
      <c r="X38" s="65"/>
      <c r="Y38" s="69"/>
      <c r="Z38" s="69"/>
      <c r="AA38" s="70"/>
      <c r="AB38" s="70"/>
      <c r="AC38" s="65"/>
      <c r="AD38" s="65"/>
      <c r="AE38" s="70"/>
      <c r="AF38" s="70"/>
      <c r="AG38" s="70"/>
    </row>
    <row r="39" spans="1:33" ht="14.25">
      <c r="A39" s="3"/>
      <c r="B39" s="3" t="s">
        <v>51</v>
      </c>
      <c r="C39" s="154">
        <f>C37/T37*100</f>
        <v>8.88027616904072</v>
      </c>
      <c r="D39" s="154">
        <f>D37/T37*100</f>
        <v>4.6270622665478625</v>
      </c>
      <c r="E39" s="154">
        <f>E37/T37*100</f>
        <v>13.507338435588581</v>
      </c>
      <c r="F39" s="154">
        <f>F37/U37</f>
        <v>363875.49102333497</v>
      </c>
      <c r="G39" s="154">
        <f>G37/T37*100</f>
        <v>14.485129057378968</v>
      </c>
      <c r="H39" s="154">
        <f>H37/T37*100</f>
        <v>20.678643457798124</v>
      </c>
      <c r="I39" s="154">
        <f>I37/T37*100</f>
        <v>13.375971368761272</v>
      </c>
      <c r="J39" s="154">
        <f>J37/T37*100</f>
        <v>16.471080510765475</v>
      </c>
      <c r="K39" s="154">
        <f>K37/T37*100</f>
        <v>7.933543276154283</v>
      </c>
      <c r="L39" s="154">
        <f>L37/T37*100</f>
        <v>12.723829745486203</v>
      </c>
      <c r="M39" s="154">
        <f>M37/T37*100</f>
        <v>7.0736507340828565</v>
      </c>
      <c r="N39" s="154">
        <f>N37/T37*100</f>
        <v>0.3381806727585757</v>
      </c>
      <c r="O39" s="154">
        <f>O37/T37*100</f>
        <v>0.20998231300450057</v>
      </c>
      <c r="P39" s="154">
        <f>P37/T37*100</f>
        <v>1.6671187985957399</v>
      </c>
      <c r="Q39" s="154">
        <f>Q37/T37*100</f>
        <v>4.636375989618111</v>
      </c>
      <c r="R39" s="154">
        <f>R37/T37*100</f>
        <v>0.406494075595895</v>
      </c>
      <c r="S39" s="154">
        <f>S37/T37*100</f>
        <v>85.51487094262103</v>
      </c>
      <c r="T39" s="154">
        <f>T37/T37*100</f>
        <v>100</v>
      </c>
      <c r="U39" s="65"/>
      <c r="V39" s="65"/>
      <c r="W39" s="65"/>
      <c r="X39" s="65"/>
      <c r="Y39" s="69"/>
      <c r="Z39" s="69"/>
      <c r="AA39" s="70"/>
      <c r="AB39" s="70"/>
      <c r="AC39" s="66"/>
      <c r="AD39" s="66"/>
      <c r="AE39" s="70"/>
      <c r="AF39" s="70"/>
      <c r="AG39" s="70"/>
    </row>
    <row r="40" spans="1:33" ht="14.25">
      <c r="A40" s="102"/>
      <c r="B40" s="382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65"/>
      <c r="V40" s="65"/>
      <c r="W40" s="65"/>
      <c r="X40" s="65"/>
      <c r="Y40" s="451"/>
      <c r="Z40" s="69"/>
      <c r="AA40" s="70"/>
      <c r="AB40" s="450"/>
      <c r="AC40" s="66"/>
      <c r="AD40" s="66"/>
      <c r="AE40" s="70"/>
      <c r="AF40" s="70"/>
      <c r="AG40" s="70"/>
    </row>
    <row r="41" spans="2:26" ht="14.25">
      <c r="B41" s="383" t="s">
        <v>198</v>
      </c>
      <c r="C41" s="82"/>
      <c r="D41" s="82"/>
      <c r="E41" s="82"/>
      <c r="Y41" s="32"/>
      <c r="Z41" s="32"/>
    </row>
    <row r="42" spans="2:33" ht="15">
      <c r="B42" s="26" t="s">
        <v>197</v>
      </c>
      <c r="AA42" s="265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2"/>
      <c r="Y43" s="446"/>
      <c r="Z43" s="23"/>
      <c r="AA43" s="42"/>
      <c r="AB43" s="42"/>
      <c r="AC43" s="158"/>
      <c r="AD43" s="158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2"/>
    </row>
    <row r="48" spans="5:21" ht="14.25">
      <c r="E48" s="82"/>
      <c r="T48" s="82"/>
      <c r="U48" s="82"/>
    </row>
    <row r="49" spans="5:20" ht="14.25"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ht="14.25">
      <c r="D50" s="158">
        <f>D37/100000</f>
        <v>414.37136</v>
      </c>
    </row>
    <row r="51" spans="19:29" ht="14.25">
      <c r="S51" s="78">
        <v>3104575</v>
      </c>
      <c r="T51" s="296">
        <f>T10+T22</f>
        <v>23489407</v>
      </c>
      <c r="U51" s="79"/>
      <c r="V51" s="78"/>
      <c r="W51" s="78"/>
      <c r="AB51" s="82">
        <f>T10+T22</f>
        <v>23489407</v>
      </c>
      <c r="AC51" s="93">
        <f>AB51/(AB52*1000)*100</f>
        <v>51.23838727286019</v>
      </c>
    </row>
    <row r="52" spans="19:33" ht="14.25">
      <c r="S52" s="78"/>
      <c r="T52" s="296">
        <f>AB10+AB22+AB23</f>
        <v>45843.376909799445</v>
      </c>
      <c r="U52" s="78"/>
      <c r="V52" s="78"/>
      <c r="W52" s="78"/>
      <c r="AB52" s="42">
        <f>AB10+AB22+AB23</f>
        <v>45843.376909799445</v>
      </c>
      <c r="AC52">
        <f>AB52*1000</f>
        <v>45843376.90979944</v>
      </c>
      <c r="AG52" s="41" t="s">
        <v>94</v>
      </c>
    </row>
    <row r="53" spans="19:33" ht="15.75">
      <c r="S53" s="80"/>
      <c r="T53" s="297">
        <f>T51/(T52*1000)*100</f>
        <v>51.23838727286019</v>
      </c>
      <c r="U53" s="297">
        <f>S51/T51*100</f>
        <v>13.216915182235123</v>
      </c>
      <c r="V53" s="80"/>
      <c r="W53" s="78"/>
      <c r="AA53" s="43"/>
      <c r="AB53" s="422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3"/>
      <c r="E54" s="93"/>
      <c r="F54" s="93"/>
      <c r="G54" s="93"/>
      <c r="S54" s="80"/>
      <c r="T54" s="80"/>
      <c r="U54" s="80"/>
      <c r="V54" s="80"/>
      <c r="W54" s="78"/>
      <c r="AA54" s="44"/>
      <c r="AB54" s="41">
        <f>AB53/(AB52*1000)*100</f>
        <v>7.666442214575889</v>
      </c>
      <c r="AC54">
        <f>AC53/AC52*100</f>
        <v>7.666442214575889</v>
      </c>
      <c r="AE54" s="41">
        <v>14706583</v>
      </c>
      <c r="AG54" s="44">
        <f>AG53/AG37*100</f>
        <v>3.4130912786374465</v>
      </c>
    </row>
    <row r="55" spans="19:31" ht="14.25">
      <c r="S55" s="79"/>
      <c r="T55" s="79"/>
      <c r="U55" s="79"/>
      <c r="V55" s="79"/>
      <c r="W55" s="78"/>
      <c r="AE55" s="41">
        <v>-14768247</v>
      </c>
    </row>
    <row r="56" spans="2:31" ht="14.25">
      <c r="B56" s="96"/>
      <c r="C56" s="178" t="s">
        <v>87</v>
      </c>
      <c r="D56" s="178" t="s">
        <v>88</v>
      </c>
      <c r="E56" s="178" t="s">
        <v>47</v>
      </c>
      <c r="S56" s="93"/>
      <c r="AE56" s="41">
        <f>SUM(AE54:AE55)</f>
        <v>-61664</v>
      </c>
    </row>
    <row r="57" spans="2:5" ht="14.25">
      <c r="B57" s="178" t="s">
        <v>181</v>
      </c>
      <c r="C57" s="107">
        <f>C10+C22+C23</f>
        <v>2216356</v>
      </c>
      <c r="D57" s="107">
        <f>D10+D22+D23</f>
        <v>1159696</v>
      </c>
      <c r="E57" s="107">
        <f>SUM(C57:D57)</f>
        <v>3376052</v>
      </c>
    </row>
    <row r="58" spans="2:19" ht="14.25">
      <c r="B58" s="178" t="s">
        <v>182</v>
      </c>
      <c r="C58" s="107">
        <f>AC10+AC22+AC23</f>
        <v>8141.421492802693</v>
      </c>
      <c r="D58" s="107">
        <f>AD10+AD22+AD23</f>
        <v>37701.955416996745</v>
      </c>
      <c r="E58" s="107">
        <f>SUM(C58:D58)</f>
        <v>45843.37690979944</v>
      </c>
      <c r="S58" s="93"/>
    </row>
    <row r="59" spans="2:5" ht="14.25">
      <c r="B59" s="178" t="s">
        <v>183</v>
      </c>
      <c r="C59" s="225">
        <f>C57/(C58*1000)*100</f>
        <v>27.223206683984337</v>
      </c>
      <c r="D59" s="225">
        <f>D57/(D58*1000)*100</f>
        <v>3.075957167667721</v>
      </c>
      <c r="E59" s="225">
        <f>E57/(E58*1000)*100</f>
        <v>7.364317874406715</v>
      </c>
    </row>
  </sheetData>
  <sheetProtection/>
  <mergeCells count="12">
    <mergeCell ref="AE6:AG6"/>
    <mergeCell ref="Z6:Z7"/>
    <mergeCell ref="AA6:AA7"/>
    <mergeCell ref="S6:S7"/>
    <mergeCell ref="T6:T7"/>
    <mergeCell ref="X6:Y6"/>
    <mergeCell ref="AB6:AD6"/>
    <mergeCell ref="U6:W6"/>
    <mergeCell ref="A6:A7"/>
    <mergeCell ref="B6:B7"/>
    <mergeCell ref="G6:G7"/>
    <mergeCell ref="C6:E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9.710937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7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31st January 2013.</v>
      </c>
      <c r="G2" s="2"/>
    </row>
    <row r="4" spans="2:7" ht="15.75">
      <c r="B4" s="29" t="s">
        <v>224</v>
      </c>
      <c r="G4" s="75"/>
    </row>
    <row r="5" ht="15.75" thickBot="1"/>
    <row r="6" spans="1:12" ht="17.25" customHeight="1">
      <c r="A6" s="459" t="s">
        <v>62</v>
      </c>
      <c r="B6" s="457" t="s">
        <v>64</v>
      </c>
      <c r="C6" s="484" t="s">
        <v>140</v>
      </c>
      <c r="D6" s="485"/>
      <c r="E6" s="485"/>
      <c r="F6" s="485"/>
      <c r="G6" s="486"/>
      <c r="H6" s="484" t="s">
        <v>143</v>
      </c>
      <c r="I6" s="485"/>
      <c r="J6" s="485"/>
      <c r="K6" s="485"/>
      <c r="L6" s="486"/>
    </row>
    <row r="7" spans="1:12" ht="16.5" customHeight="1">
      <c r="A7" s="460"/>
      <c r="B7" s="458"/>
      <c r="C7" s="483" t="s">
        <v>141</v>
      </c>
      <c r="D7" s="488" t="s">
        <v>139</v>
      </c>
      <c r="E7" s="488"/>
      <c r="F7" s="488"/>
      <c r="G7" s="487" t="s">
        <v>70</v>
      </c>
      <c r="H7" s="465" t="s">
        <v>142</v>
      </c>
      <c r="I7" s="488" t="s">
        <v>139</v>
      </c>
      <c r="J7" s="488"/>
      <c r="K7" s="488"/>
      <c r="L7" s="487" t="s">
        <v>70</v>
      </c>
    </row>
    <row r="8" spans="1:12" ht="21" customHeight="1">
      <c r="A8" s="483"/>
      <c r="B8" s="464"/>
      <c r="C8" s="483"/>
      <c r="D8" s="27" t="s">
        <v>131</v>
      </c>
      <c r="E8" s="27" t="s">
        <v>138</v>
      </c>
      <c r="F8" s="27" t="s">
        <v>89</v>
      </c>
      <c r="G8" s="487"/>
      <c r="H8" s="465"/>
      <c r="I8" s="27" t="s">
        <v>131</v>
      </c>
      <c r="J8" s="27" t="s">
        <v>138</v>
      </c>
      <c r="K8" s="27" t="s">
        <v>89</v>
      </c>
      <c r="L8" s="487"/>
    </row>
    <row r="9" spans="1:23" ht="15.75">
      <c r="A9" s="196">
        <v>1</v>
      </c>
      <c r="B9" s="197" t="s">
        <v>1</v>
      </c>
      <c r="C9" s="191">
        <f>'Anne-8'!D35/1000000</f>
        <v>21.041104</v>
      </c>
      <c r="D9" s="182">
        <f>'Anne-7'!F38/1000000</f>
        <v>2.82957</v>
      </c>
      <c r="E9" s="182">
        <f>'Anne-6'!D35/1000000</f>
        <v>97.092777</v>
      </c>
      <c r="F9" s="182">
        <f>E9+D9</f>
        <v>99.922347</v>
      </c>
      <c r="G9" s="194">
        <f aca="true" t="shared" si="0" ref="G9:G21">C9+F9</f>
        <v>120.963451</v>
      </c>
      <c r="H9" s="200">
        <f>C9/C22*100</f>
        <v>68.35069081251194</v>
      </c>
      <c r="I9" s="151">
        <f>D9/$D$22*100</f>
        <v>1.6193688271389177</v>
      </c>
      <c r="J9" s="151">
        <f aca="true" t="shared" si="1" ref="J9:J17">E9/$E$22*100</f>
        <v>14.070971865171117</v>
      </c>
      <c r="K9" s="151">
        <f aca="true" t="shared" si="2" ref="K9:K22">F9/$F$22*100</f>
        <v>11.554992971365326</v>
      </c>
      <c r="L9" s="201">
        <f aca="true" t="shared" si="3" ref="L9:L22">G9/$G$22*100</f>
        <v>13.507338435588581</v>
      </c>
      <c r="N9" s="75"/>
      <c r="O9" s="181"/>
      <c r="P9" s="181"/>
      <c r="V9" s="161">
        <v>29.14983</v>
      </c>
      <c r="W9" s="161">
        <f>V9/V15*100</f>
        <v>77.09726343320534</v>
      </c>
    </row>
    <row r="10" spans="1:23" ht="15.75">
      <c r="A10" s="196">
        <v>2</v>
      </c>
      <c r="B10" s="197" t="s">
        <v>75</v>
      </c>
      <c r="C10" s="193">
        <f>'Anne-8'!H38/1000000</f>
        <v>3.278375</v>
      </c>
      <c r="D10" s="185"/>
      <c r="E10" s="183">
        <f>'Anne-6'!G38/1000000</f>
        <v>181.906892</v>
      </c>
      <c r="F10" s="182">
        <f aca="true" t="shared" si="4" ref="F10:F21">E10+D10</f>
        <v>181.906892</v>
      </c>
      <c r="G10" s="192">
        <f t="shared" si="0"/>
        <v>185.185267</v>
      </c>
      <c r="H10" s="203">
        <f>C10/C22*100</f>
        <v>10.649593100840566</v>
      </c>
      <c r="I10" s="151"/>
      <c r="J10" s="150">
        <f t="shared" si="1"/>
        <v>26.362483786128816</v>
      </c>
      <c r="K10" s="150">
        <f t="shared" si="2"/>
        <v>21.035663408735903</v>
      </c>
      <c r="L10" s="202">
        <f t="shared" si="3"/>
        <v>20.678643457798124</v>
      </c>
      <c r="N10" s="75"/>
      <c r="O10" s="181"/>
      <c r="P10" s="181"/>
      <c r="Q10" s="75"/>
      <c r="V10" s="161">
        <v>3.573206</v>
      </c>
      <c r="W10" s="161">
        <f>V10/V15*100</f>
        <v>9.450635021991891</v>
      </c>
    </row>
    <row r="11" spans="1:23" ht="15.75">
      <c r="A11" s="196">
        <v>3</v>
      </c>
      <c r="B11" s="197" t="s">
        <v>13</v>
      </c>
      <c r="C11" s="193">
        <f>'Anne-8'!I38/1000000</f>
        <v>1.258739</v>
      </c>
      <c r="D11" s="182">
        <f>'Anne-7'!I38/1000000</f>
        <v>85.585087</v>
      </c>
      <c r="E11" s="182">
        <f>'Anne-6'!S38/1000000</f>
        <v>32.943182</v>
      </c>
      <c r="F11" s="182">
        <f t="shared" si="4"/>
        <v>118.528269</v>
      </c>
      <c r="G11" s="192">
        <f t="shared" si="0"/>
        <v>119.787008</v>
      </c>
      <c r="H11" s="203">
        <f>C11/C22*100</f>
        <v>4.088933746187959</v>
      </c>
      <c r="I11" s="150">
        <f>D11/$D$22*100</f>
        <v>48.980524233637</v>
      </c>
      <c r="J11" s="151">
        <f t="shared" si="1"/>
        <v>4.7742231852242885</v>
      </c>
      <c r="K11" s="150">
        <f t="shared" si="2"/>
        <v>13.706576720051409</v>
      </c>
      <c r="L11" s="201">
        <f t="shared" si="3"/>
        <v>13.375971368761272</v>
      </c>
      <c r="N11" s="75"/>
      <c r="O11" s="181"/>
      <c r="P11" s="181"/>
      <c r="Q11" s="75"/>
      <c r="V11" s="161">
        <v>2.756253</v>
      </c>
      <c r="W11" s="161">
        <f>V11/V15*100</f>
        <v>7.2899074756032025</v>
      </c>
    </row>
    <row r="12" spans="1:23" ht="15.75">
      <c r="A12" s="196">
        <v>4</v>
      </c>
      <c r="B12" s="197" t="s">
        <v>109</v>
      </c>
      <c r="C12" s="193">
        <f>'Anne-8'!M38/1000000</f>
        <v>0.02862</v>
      </c>
      <c r="D12" s="185"/>
      <c r="E12" s="183">
        <f>'Anne-6'!I38/1000000</f>
        <v>147.47629</v>
      </c>
      <c r="F12" s="182">
        <f t="shared" si="4"/>
        <v>147.47629</v>
      </c>
      <c r="G12" s="192">
        <f t="shared" si="0"/>
        <v>147.50491</v>
      </c>
      <c r="H12" s="203">
        <f>C12/C22*100</f>
        <v>0.09297025341703039</v>
      </c>
      <c r="I12" s="150"/>
      <c r="J12" s="150">
        <f t="shared" si="1"/>
        <v>21.372699303572464</v>
      </c>
      <c r="K12" s="150">
        <f t="shared" si="2"/>
        <v>17.05411797816393</v>
      </c>
      <c r="L12" s="202">
        <f t="shared" si="3"/>
        <v>16.471080510765475</v>
      </c>
      <c r="N12" s="75"/>
      <c r="O12" s="181"/>
      <c r="P12" s="181"/>
      <c r="Q12" s="75"/>
      <c r="V12" s="161">
        <v>1.115693</v>
      </c>
      <c r="W12" s="161">
        <f>V12/V15*100</f>
        <v>2.950853474328432</v>
      </c>
    </row>
    <row r="13" spans="1:23" ht="15.75">
      <c r="A13" s="196">
        <v>5</v>
      </c>
      <c r="B13" s="197" t="s">
        <v>71</v>
      </c>
      <c r="C13" s="193">
        <f>'Anne-8'!J38/1000000</f>
        <v>1.489833</v>
      </c>
      <c r="D13" s="182">
        <f>'Anne-7'!J38/1000000</f>
        <v>69.558122</v>
      </c>
      <c r="E13" s="186"/>
      <c r="F13" s="182">
        <f>E13+D13</f>
        <v>69.558122</v>
      </c>
      <c r="G13" s="194">
        <f t="shared" si="0"/>
        <v>71.047955</v>
      </c>
      <c r="H13" s="203">
        <f>C13/C22*100</f>
        <v>4.839627937073886</v>
      </c>
      <c r="I13" s="150">
        <f>D13/$D$22*100</f>
        <v>39.80825865453965</v>
      </c>
      <c r="J13" s="151">
        <f t="shared" si="1"/>
        <v>0</v>
      </c>
      <c r="K13" s="151">
        <f t="shared" si="2"/>
        <v>8.043682268705837</v>
      </c>
      <c r="L13" s="201">
        <f t="shared" si="3"/>
        <v>7.933543276154283</v>
      </c>
      <c r="N13" s="75"/>
      <c r="O13" s="181"/>
      <c r="P13" s="181"/>
      <c r="Q13" s="75"/>
      <c r="V13" s="161">
        <v>0.929564</v>
      </c>
      <c r="W13" s="161">
        <f>V13/V15*100</f>
        <v>2.4585680460580415</v>
      </c>
    </row>
    <row r="14" spans="1:23" ht="15.75">
      <c r="A14" s="196">
        <v>6</v>
      </c>
      <c r="B14" s="197" t="s">
        <v>67</v>
      </c>
      <c r="C14" s="193"/>
      <c r="D14" s="185"/>
      <c r="E14" s="182">
        <f>'Anne-6'!N38/1000000</f>
        <v>113.946827</v>
      </c>
      <c r="F14" s="182">
        <f t="shared" si="4"/>
        <v>113.946827</v>
      </c>
      <c r="G14" s="194">
        <f t="shared" si="0"/>
        <v>113.946827</v>
      </c>
      <c r="H14" s="203"/>
      <c r="I14" s="151"/>
      <c r="J14" s="150">
        <f t="shared" si="1"/>
        <v>16.51351054509977</v>
      </c>
      <c r="K14" s="151">
        <f t="shared" si="2"/>
        <v>13.176780015929578</v>
      </c>
      <c r="L14" s="201">
        <f t="shared" si="3"/>
        <v>12.723829745486203</v>
      </c>
      <c r="N14" s="75"/>
      <c r="O14" s="181"/>
      <c r="P14" s="181"/>
      <c r="Q14" s="75"/>
      <c r="V14" s="161">
        <v>0.284617</v>
      </c>
      <c r="W14" s="161">
        <f>V14/V15*100</f>
        <v>0.7527725488131013</v>
      </c>
    </row>
    <row r="15" spans="1:23" ht="15">
      <c r="A15" s="196">
        <v>7</v>
      </c>
      <c r="B15" s="197" t="s">
        <v>68</v>
      </c>
      <c r="C15" s="193"/>
      <c r="D15" s="185"/>
      <c r="E15" s="182">
        <f>'Anne-6'!K38/1000000</f>
        <v>63.347284</v>
      </c>
      <c r="F15" s="182">
        <f t="shared" si="4"/>
        <v>63.347284</v>
      </c>
      <c r="G15" s="194">
        <f t="shared" si="0"/>
        <v>63.347284</v>
      </c>
      <c r="H15" s="203"/>
      <c r="I15" s="151"/>
      <c r="J15" s="151">
        <f t="shared" si="1"/>
        <v>9.180475401367955</v>
      </c>
      <c r="K15" s="151">
        <f t="shared" si="2"/>
        <v>7.325462655266526</v>
      </c>
      <c r="L15" s="201">
        <f t="shared" si="3"/>
        <v>7.0736507340828565</v>
      </c>
      <c r="N15" s="75"/>
      <c r="O15" s="181"/>
      <c r="P15" s="181"/>
      <c r="Q15" s="75"/>
      <c r="V15" s="161">
        <f>SUM(V9:V14)</f>
        <v>37.809163</v>
      </c>
      <c r="W15" s="161">
        <f>V15/V15*100</f>
        <v>100</v>
      </c>
    </row>
    <row r="16" spans="1:17" s="262" customFormat="1" ht="15">
      <c r="A16" s="254">
        <v>8</v>
      </c>
      <c r="B16" s="255" t="s">
        <v>2</v>
      </c>
      <c r="C16" s="256">
        <f>'Anne-8'!E38/1000000</f>
        <v>3.453854</v>
      </c>
      <c r="D16" s="257">
        <f>'Anne-7'!G38/1000000</f>
        <v>0.183461</v>
      </c>
      <c r="E16" s="257">
        <f>'Anne-6'!E38/1000000</f>
        <v>5.119179</v>
      </c>
      <c r="F16" s="257">
        <f t="shared" si="4"/>
        <v>5.30264</v>
      </c>
      <c r="G16" s="258">
        <f t="shared" si="0"/>
        <v>8.756494</v>
      </c>
      <c r="H16" s="259">
        <f>C16/C22*100</f>
        <v>11.219625494249618</v>
      </c>
      <c r="I16" s="260">
        <f>D16/$D$22*100</f>
        <v>0.10499511388505428</v>
      </c>
      <c r="J16" s="260">
        <f t="shared" si="1"/>
        <v>0.7418865327312124</v>
      </c>
      <c r="K16" s="260">
        <f t="shared" si="2"/>
        <v>0.613195844265754</v>
      </c>
      <c r="L16" s="261">
        <f t="shared" si="3"/>
        <v>0.9777906217903852</v>
      </c>
      <c r="N16" s="263"/>
      <c r="O16" s="264"/>
      <c r="P16" s="264"/>
      <c r="Q16" s="263"/>
    </row>
    <row r="17" spans="1:17" ht="15">
      <c r="A17" s="196">
        <v>9</v>
      </c>
      <c r="B17" s="197" t="s">
        <v>188</v>
      </c>
      <c r="C17" s="193"/>
      <c r="D17" s="185"/>
      <c r="E17" s="182">
        <f>'Anne-6'!X38/1000000</f>
        <v>3.028539</v>
      </c>
      <c r="F17" s="182">
        <f t="shared" si="4"/>
        <v>3.028539</v>
      </c>
      <c r="G17" s="194">
        <f t="shared" si="0"/>
        <v>3.028539</v>
      </c>
      <c r="H17" s="203"/>
      <c r="I17" s="151"/>
      <c r="J17" s="151">
        <f t="shared" si="1"/>
        <v>0.4389048122660398</v>
      </c>
      <c r="K17" s="151">
        <f t="shared" si="2"/>
        <v>0.35021942447474513</v>
      </c>
      <c r="L17" s="201">
        <f t="shared" si="3"/>
        <v>0.3381806727585757</v>
      </c>
      <c r="N17" s="75"/>
      <c r="P17" s="181"/>
      <c r="Q17" s="75"/>
    </row>
    <row r="18" spans="1:22" ht="15">
      <c r="A18" s="196">
        <v>10</v>
      </c>
      <c r="B18" s="197" t="s">
        <v>191</v>
      </c>
      <c r="C18" s="193">
        <f>'Anne-8'!K38/1000000</f>
        <v>0.183823</v>
      </c>
      <c r="D18" s="182">
        <f>'Anne-7'!K38/1000000</f>
        <v>1.69665</v>
      </c>
      <c r="E18" s="186"/>
      <c r="F18" s="182">
        <f t="shared" si="4"/>
        <v>1.69665</v>
      </c>
      <c r="G18" s="194">
        <f t="shared" si="0"/>
        <v>1.880473</v>
      </c>
      <c r="H18" s="203">
        <f>C18/C22*100</f>
        <v>0.5971373477945064</v>
      </c>
      <c r="I18" s="151">
        <f>D18/$D$22*100</f>
        <v>0.9709963424001685</v>
      </c>
      <c r="J18" s="151"/>
      <c r="K18" s="151">
        <f t="shared" si="2"/>
        <v>0.1962001435461377</v>
      </c>
      <c r="L18" s="201">
        <f t="shared" si="3"/>
        <v>0.20998231300450057</v>
      </c>
      <c r="N18" s="75"/>
      <c r="P18" s="181"/>
      <c r="Q18" s="75"/>
      <c r="V18" s="26">
        <v>162044</v>
      </c>
    </row>
    <row r="19" spans="1:22" ht="15">
      <c r="A19" s="196">
        <v>11</v>
      </c>
      <c r="B19" s="197" t="s">
        <v>190</v>
      </c>
      <c r="C19" s="193">
        <f>'Anne-8'!L38/1000000</f>
        <v>0.049692</v>
      </c>
      <c r="D19" s="182">
        <f>'Anne-7'!L38/1000000</f>
        <v>14.880003</v>
      </c>
      <c r="E19" s="186"/>
      <c r="F19" s="182">
        <f t="shared" si="4"/>
        <v>14.880003</v>
      </c>
      <c r="G19" s="194">
        <f t="shared" si="0"/>
        <v>14.929695</v>
      </c>
      <c r="H19" s="203">
        <f>C19/C22*100</f>
        <v>0.16142130792449594</v>
      </c>
      <c r="I19" s="151">
        <f>D19/$D$22*100</f>
        <v>8.515856828399219</v>
      </c>
      <c r="J19" s="151"/>
      <c r="K19" s="151">
        <f t="shared" si="2"/>
        <v>1.72071949109537</v>
      </c>
      <c r="L19" s="201">
        <f t="shared" si="3"/>
        <v>1.6671187985957399</v>
      </c>
      <c r="N19" s="75"/>
      <c r="P19" s="181"/>
      <c r="Q19" s="75"/>
      <c r="V19" s="26">
        <v>122573</v>
      </c>
    </row>
    <row r="20" spans="1:17" ht="15">
      <c r="A20" s="196">
        <v>12</v>
      </c>
      <c r="B20" s="197" t="s">
        <v>134</v>
      </c>
      <c r="C20" s="193"/>
      <c r="D20" s="185"/>
      <c r="E20" s="182">
        <f>'Anne-6'!V38/1000000</f>
        <v>41.520544</v>
      </c>
      <c r="F20" s="182">
        <f t="shared" si="4"/>
        <v>41.520544</v>
      </c>
      <c r="G20" s="194">
        <f t="shared" si="0"/>
        <v>41.520544</v>
      </c>
      <c r="H20" s="203"/>
      <c r="I20" s="151"/>
      <c r="J20" s="151">
        <f>E20/$E$22*100</f>
        <v>6.017279807030336</v>
      </c>
      <c r="K20" s="151">
        <f t="shared" si="2"/>
        <v>4.801424390954956</v>
      </c>
      <c r="L20" s="201">
        <f t="shared" si="3"/>
        <v>4.636375989618111</v>
      </c>
      <c r="N20" s="75"/>
      <c r="P20" s="181"/>
      <c r="Q20" s="75"/>
    </row>
    <row r="21" spans="1:17" ht="15">
      <c r="A21" s="210">
        <v>13</v>
      </c>
      <c r="B21" s="211" t="s">
        <v>144</v>
      </c>
      <c r="C21" s="212"/>
      <c r="D21" s="216"/>
      <c r="E21" s="217">
        <f>'Anne-6'!W38/1000000</f>
        <v>3.640312</v>
      </c>
      <c r="F21" s="182">
        <f t="shared" si="4"/>
        <v>3.640312</v>
      </c>
      <c r="G21" s="194">
        <f t="shared" si="0"/>
        <v>3.640312</v>
      </c>
      <c r="H21" s="213"/>
      <c r="I21" s="214"/>
      <c r="J21" s="151">
        <f>E21/$E$22*100</f>
        <v>0.5275647614079964</v>
      </c>
      <c r="K21" s="151">
        <f t="shared" si="2"/>
        <v>0.4209646874445099</v>
      </c>
      <c r="L21" s="201">
        <f t="shared" si="3"/>
        <v>0.406494075595895</v>
      </c>
      <c r="N21" s="75"/>
      <c r="P21" s="181"/>
      <c r="Q21" s="75"/>
    </row>
    <row r="22" spans="1:16" ht="16.5" thickBot="1">
      <c r="A22" s="198"/>
      <c r="B22" s="199" t="s">
        <v>47</v>
      </c>
      <c r="C22" s="195">
        <f>SUM(C9:C21)</f>
        <v>30.78404</v>
      </c>
      <c r="D22" s="195">
        <f>SUM(D9:D21)</f>
        <v>174.732893</v>
      </c>
      <c r="E22" s="195">
        <f>SUM(E9:E21)</f>
        <v>690.021826</v>
      </c>
      <c r="F22" s="195">
        <f>SUM(F9:F21)</f>
        <v>864.7547190000001</v>
      </c>
      <c r="G22" s="195">
        <f>SUM(G9:G21)</f>
        <v>895.538759</v>
      </c>
      <c r="H22" s="204">
        <f>C22/C22*100</f>
        <v>100</v>
      </c>
      <c r="I22" s="205">
        <f>D22/$D$22*100</f>
        <v>100</v>
      </c>
      <c r="J22" s="205">
        <f>E22/$E$22*100</f>
        <v>100</v>
      </c>
      <c r="K22" s="205">
        <f t="shared" si="2"/>
        <v>100</v>
      </c>
      <c r="L22" s="206">
        <f t="shared" si="3"/>
        <v>100</v>
      </c>
      <c r="N22" s="75"/>
      <c r="P22" s="181"/>
    </row>
    <row r="23" spans="1:14" ht="22.5" customHeight="1">
      <c r="A23" s="188" t="s">
        <v>135</v>
      </c>
      <c r="B23" s="189"/>
      <c r="C23" s="190">
        <f>'Anne-8'!O35/1000000</f>
        <v>24.848468</v>
      </c>
      <c r="D23" s="190">
        <f>'Anne-7'!N35/1000000</f>
        <v>152.476867</v>
      </c>
      <c r="E23" s="190">
        <f>'Anne-6'!Z35/1000000</f>
        <v>640.688984</v>
      </c>
      <c r="F23" s="190">
        <f>E23+D23</f>
        <v>793.165851</v>
      </c>
      <c r="G23" s="190">
        <f>F23+C23</f>
        <v>818.014319</v>
      </c>
      <c r="H23" s="177"/>
      <c r="I23" s="177"/>
      <c r="J23" s="177"/>
      <c r="K23" s="177"/>
      <c r="L23" s="177"/>
      <c r="N23" s="75">
        <f>G22*1000000</f>
        <v>895538759</v>
      </c>
    </row>
    <row r="24" ht="15.75" customHeight="1">
      <c r="L24" s="162"/>
    </row>
    <row r="25" spans="1:10" ht="31.5" customHeight="1">
      <c r="A25" s="464" t="s">
        <v>137</v>
      </c>
      <c r="B25" s="465"/>
      <c r="C25" s="180">
        <f>C9/C22*100</f>
        <v>68.35069081251194</v>
      </c>
      <c r="D25" s="180">
        <f>D9/D22*100</f>
        <v>1.6193688271389177</v>
      </c>
      <c r="E25" s="180">
        <f>E9/E22*100</f>
        <v>14.070971865171117</v>
      </c>
      <c r="F25" s="180">
        <f>F9/F22*100</f>
        <v>11.554992971365326</v>
      </c>
      <c r="G25" s="180">
        <f>G9/G22*100</f>
        <v>13.507338435588581</v>
      </c>
      <c r="H25" s="103"/>
      <c r="I25" s="103"/>
      <c r="J25" s="103"/>
    </row>
    <row r="26" spans="1:7" ht="33.75" customHeight="1">
      <c r="A26" s="461" t="s">
        <v>136</v>
      </c>
      <c r="B26" s="462"/>
      <c r="C26" s="180">
        <f>C9/C23*100</f>
        <v>84.67767107412818</v>
      </c>
      <c r="D26" s="180">
        <f>D9/D23*100</f>
        <v>1.8557372378329364</v>
      </c>
      <c r="E26" s="180">
        <f>E9/E23*100</f>
        <v>15.154432091811962</v>
      </c>
      <c r="F26" s="180">
        <f>F9/F23*100</f>
        <v>12.59791339655141</v>
      </c>
      <c r="G26" s="180">
        <f>G9/G23*100</f>
        <v>14.78744909354087</v>
      </c>
    </row>
    <row r="27" spans="10:12" ht="15">
      <c r="J27" s="209"/>
      <c r="K27" s="162"/>
      <c r="L27" s="162"/>
    </row>
    <row r="28" spans="8:12" ht="15">
      <c r="H28" s="162"/>
      <c r="I28" s="162"/>
      <c r="J28" s="162"/>
      <c r="K28" s="162"/>
      <c r="L28" s="162"/>
    </row>
    <row r="30" spans="3:12" ht="15">
      <c r="C30" s="209"/>
      <c r="D30" s="75"/>
      <c r="E30" s="75"/>
      <c r="F30" s="209"/>
      <c r="G30" s="209"/>
      <c r="K30" s="162">
        <f>K17+K18+K19+K20+K21</f>
        <v>7.48952813751572</v>
      </c>
      <c r="L30" s="162">
        <f>L17+L18+L19+L20+L21</f>
        <v>7.258151849572823</v>
      </c>
    </row>
    <row r="31" spans="3:12" ht="15">
      <c r="C31" s="162">
        <f>C17+C18+C19+C20+C21</f>
        <v>0.23351499999999997</v>
      </c>
      <c r="D31" s="162">
        <f aca="true" t="shared" si="5" ref="D31:L31">D17+D18+D19+D20+D21</f>
        <v>16.576653</v>
      </c>
      <c r="E31" s="162">
        <f t="shared" si="5"/>
        <v>48.189395000000005</v>
      </c>
      <c r="F31" s="162">
        <f t="shared" si="5"/>
        <v>64.766048</v>
      </c>
      <c r="G31" s="162">
        <f t="shared" si="5"/>
        <v>64.999563</v>
      </c>
      <c r="H31" s="162">
        <f t="shared" si="5"/>
        <v>0.7585586557190024</v>
      </c>
      <c r="I31" s="162">
        <f t="shared" si="5"/>
        <v>9.486853170799387</v>
      </c>
      <c r="J31" s="162">
        <f t="shared" si="5"/>
        <v>6.9837493807043725</v>
      </c>
      <c r="K31" s="162">
        <f t="shared" si="5"/>
        <v>7.48952813751572</v>
      </c>
      <c r="L31" s="162">
        <f t="shared" si="5"/>
        <v>7.258151849572823</v>
      </c>
    </row>
    <row r="33" spans="13:16" ht="15">
      <c r="M33" s="181">
        <v>247.24806999999998</v>
      </c>
      <c r="N33" s="181">
        <v>52.985749999999996</v>
      </c>
      <c r="O33" s="181">
        <v>884.2925</v>
      </c>
      <c r="P33" s="181">
        <f>SUM(M33:O33)</f>
        <v>1184.52632</v>
      </c>
    </row>
    <row r="34" spans="3:5" ht="15">
      <c r="C34" s="26">
        <f>C9*10</f>
        <v>210.41104</v>
      </c>
      <c r="D34" s="26">
        <f>D9*10</f>
        <v>28.2957</v>
      </c>
      <c r="E34" s="26">
        <f>E9*10</f>
        <v>970.92777</v>
      </c>
    </row>
    <row r="35" ht="15">
      <c r="G35" s="215"/>
    </row>
  </sheetData>
  <sheetProtection/>
  <mergeCells count="12">
    <mergeCell ref="C6:G6"/>
    <mergeCell ref="G7:G8"/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X32">
      <selection activeCell="AJ35" sqref="AJ35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1" width="10.7109375" style="0" hidden="1" customWidth="1"/>
    <col min="22" max="22" width="11.421875" style="0" hidden="1" customWidth="1"/>
    <col min="23" max="23" width="9.7109375" style="0" customWidth="1"/>
    <col min="24" max="24" width="11.00390625" style="0" customWidth="1"/>
    <col min="25" max="25" width="10.8515625" style="0" customWidth="1"/>
    <col min="26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9.28125" style="0" customWidth="1"/>
    <col min="32" max="32" width="10.140625" style="0" bestFit="1" customWidth="1"/>
    <col min="33" max="33" width="8.00390625" style="0" customWidth="1"/>
    <col min="34" max="34" width="7.140625" style="0" customWidth="1"/>
    <col min="35" max="35" width="6.8515625" style="0" customWidth="1"/>
    <col min="36" max="36" width="6.1406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7" t="s">
        <v>225</v>
      </c>
      <c r="AI1" s="77" t="s">
        <v>115</v>
      </c>
    </row>
    <row r="2" ht="13.5" thickBot="1">
      <c r="A2" s="187"/>
    </row>
    <row r="3" spans="1:37" ht="12.75" customHeight="1" thickBot="1">
      <c r="A3" s="498" t="s">
        <v>19</v>
      </c>
      <c r="B3" s="501" t="s">
        <v>20</v>
      </c>
      <c r="C3" s="504" t="s">
        <v>147</v>
      </c>
      <c r="D3" s="505"/>
      <c r="E3" s="505"/>
      <c r="F3" s="505"/>
      <c r="G3" s="505"/>
      <c r="H3" s="505"/>
      <c r="I3" s="505"/>
      <c r="J3" s="505"/>
      <c r="K3" s="505"/>
      <c r="L3" s="505"/>
      <c r="M3" s="506" t="s">
        <v>148</v>
      </c>
      <c r="N3" s="505"/>
      <c r="O3" s="505"/>
      <c r="P3" s="505"/>
      <c r="Q3" s="505"/>
      <c r="R3" s="505"/>
      <c r="S3" s="505"/>
      <c r="T3" s="505"/>
      <c r="U3" s="505"/>
      <c r="V3" s="507"/>
      <c r="W3" s="509" t="s">
        <v>226</v>
      </c>
      <c r="X3" s="510"/>
      <c r="Y3" s="510"/>
      <c r="Z3" s="510"/>
      <c r="AA3" s="510"/>
      <c r="AB3" s="510"/>
      <c r="AC3" s="510"/>
      <c r="AD3" s="510"/>
      <c r="AE3" s="510"/>
      <c r="AF3" s="511"/>
      <c r="AG3" s="512" t="s">
        <v>153</v>
      </c>
      <c r="AH3" s="513"/>
      <c r="AI3" s="513"/>
      <c r="AJ3" s="513"/>
      <c r="AK3" s="514"/>
    </row>
    <row r="4" spans="1:37" ht="12.75" customHeight="1">
      <c r="A4" s="499"/>
      <c r="B4" s="502"/>
      <c r="C4" s="518" t="s">
        <v>184</v>
      </c>
      <c r="D4" s="519"/>
      <c r="E4" s="519"/>
      <c r="F4" s="519"/>
      <c r="G4" s="520"/>
      <c r="H4" s="521" t="s">
        <v>185</v>
      </c>
      <c r="I4" s="519"/>
      <c r="J4" s="519"/>
      <c r="K4" s="519"/>
      <c r="L4" s="520"/>
      <c r="M4" s="521" t="s">
        <v>184</v>
      </c>
      <c r="N4" s="519"/>
      <c r="O4" s="519"/>
      <c r="P4" s="519"/>
      <c r="Q4" s="520"/>
      <c r="R4" s="521" t="s">
        <v>179</v>
      </c>
      <c r="S4" s="519"/>
      <c r="T4" s="519"/>
      <c r="U4" s="519"/>
      <c r="V4" s="522"/>
      <c r="W4" s="523" t="s">
        <v>150</v>
      </c>
      <c r="X4" s="524"/>
      <c r="Y4" s="524"/>
      <c r="Z4" s="524"/>
      <c r="AA4" s="524"/>
      <c r="AB4" s="524" t="s">
        <v>151</v>
      </c>
      <c r="AC4" s="524"/>
      <c r="AD4" s="524"/>
      <c r="AE4" s="524"/>
      <c r="AF4" s="525"/>
      <c r="AG4" s="515"/>
      <c r="AH4" s="516"/>
      <c r="AI4" s="516"/>
      <c r="AJ4" s="516"/>
      <c r="AK4" s="517"/>
    </row>
    <row r="5" spans="1:37" ht="12.75" customHeight="1">
      <c r="A5" s="499"/>
      <c r="B5" s="502"/>
      <c r="C5" s="508" t="s">
        <v>152</v>
      </c>
      <c r="D5" s="491" t="s">
        <v>139</v>
      </c>
      <c r="E5" s="491"/>
      <c r="F5" s="491"/>
      <c r="G5" s="489" t="s">
        <v>47</v>
      </c>
      <c r="H5" s="496" t="s">
        <v>152</v>
      </c>
      <c r="I5" s="491" t="s">
        <v>139</v>
      </c>
      <c r="J5" s="491"/>
      <c r="K5" s="491"/>
      <c r="L5" s="489" t="s">
        <v>47</v>
      </c>
      <c r="M5" s="496" t="s">
        <v>152</v>
      </c>
      <c r="N5" s="491" t="s">
        <v>139</v>
      </c>
      <c r="O5" s="491"/>
      <c r="P5" s="491"/>
      <c r="Q5" s="489" t="s">
        <v>47</v>
      </c>
      <c r="R5" s="496" t="s">
        <v>152</v>
      </c>
      <c r="S5" s="491" t="s">
        <v>139</v>
      </c>
      <c r="T5" s="491"/>
      <c r="U5" s="491"/>
      <c r="V5" s="497" t="s">
        <v>47</v>
      </c>
      <c r="W5" s="494" t="s">
        <v>176</v>
      </c>
      <c r="X5" s="491" t="s">
        <v>139</v>
      </c>
      <c r="Y5" s="491"/>
      <c r="Z5" s="491"/>
      <c r="AA5" s="491" t="s">
        <v>47</v>
      </c>
      <c r="AB5" s="493" t="s">
        <v>176</v>
      </c>
      <c r="AC5" s="491" t="s">
        <v>139</v>
      </c>
      <c r="AD5" s="491"/>
      <c r="AE5" s="491"/>
      <c r="AF5" s="489" t="s">
        <v>47</v>
      </c>
      <c r="AG5" s="494" t="s">
        <v>176</v>
      </c>
      <c r="AH5" s="491" t="s">
        <v>139</v>
      </c>
      <c r="AI5" s="491"/>
      <c r="AJ5" s="491"/>
      <c r="AK5" s="489" t="s">
        <v>47</v>
      </c>
    </row>
    <row r="6" spans="1:37" ht="12.75" customHeight="1" thickBot="1">
      <c r="A6" s="500"/>
      <c r="B6" s="503"/>
      <c r="C6" s="508"/>
      <c r="D6" s="96" t="s">
        <v>131</v>
      </c>
      <c r="E6" s="96" t="s">
        <v>138</v>
      </c>
      <c r="F6" s="96" t="s">
        <v>47</v>
      </c>
      <c r="G6" s="489"/>
      <c r="H6" s="496"/>
      <c r="I6" s="96" t="s">
        <v>131</v>
      </c>
      <c r="J6" s="96" t="s">
        <v>138</v>
      </c>
      <c r="K6" s="96" t="s">
        <v>47</v>
      </c>
      <c r="L6" s="489"/>
      <c r="M6" s="496"/>
      <c r="N6" s="96" t="s">
        <v>131</v>
      </c>
      <c r="O6" s="96" t="s">
        <v>138</v>
      </c>
      <c r="P6" s="96" t="s">
        <v>47</v>
      </c>
      <c r="Q6" s="489"/>
      <c r="R6" s="496"/>
      <c r="S6" s="96" t="s">
        <v>131</v>
      </c>
      <c r="T6" s="96" t="s">
        <v>138</v>
      </c>
      <c r="U6" s="96" t="s">
        <v>47</v>
      </c>
      <c r="V6" s="497"/>
      <c r="W6" s="495"/>
      <c r="X6" s="242" t="s">
        <v>131</v>
      </c>
      <c r="Y6" s="242" t="s">
        <v>138</v>
      </c>
      <c r="Z6" s="242" t="s">
        <v>47</v>
      </c>
      <c r="AA6" s="492"/>
      <c r="AB6" s="492"/>
      <c r="AC6" s="242" t="s">
        <v>131</v>
      </c>
      <c r="AD6" s="242" t="s">
        <v>138</v>
      </c>
      <c r="AE6" s="242" t="s">
        <v>47</v>
      </c>
      <c r="AF6" s="490"/>
      <c r="AG6" s="495"/>
      <c r="AH6" s="242" t="s">
        <v>131</v>
      </c>
      <c r="AI6" s="242" t="s">
        <v>138</v>
      </c>
      <c r="AJ6" s="242" t="s">
        <v>47</v>
      </c>
      <c r="AK6" s="490"/>
    </row>
    <row r="7" spans="1:37" ht="18" customHeight="1">
      <c r="A7" s="251">
        <v>1</v>
      </c>
      <c r="B7" s="252" t="s">
        <v>21</v>
      </c>
      <c r="C7" s="226"/>
      <c r="D7" s="107"/>
      <c r="E7" s="219"/>
      <c r="F7" s="219"/>
      <c r="G7" s="231"/>
      <c r="H7" s="230"/>
      <c r="I7" s="107"/>
      <c r="J7" s="107"/>
      <c r="K7" s="107"/>
      <c r="L7" s="231"/>
      <c r="M7" s="230"/>
      <c r="N7" s="107"/>
      <c r="O7" s="96"/>
      <c r="P7" s="96"/>
      <c r="Q7" s="239"/>
      <c r="R7" s="241"/>
      <c r="S7" s="96"/>
      <c r="T7" s="96"/>
      <c r="U7" s="96"/>
      <c r="V7" s="239"/>
      <c r="W7" s="243"/>
      <c r="X7" s="227"/>
      <c r="Y7" s="227"/>
      <c r="Z7" s="227"/>
      <c r="AA7" s="228"/>
      <c r="AB7" s="243"/>
      <c r="AC7" s="227"/>
      <c r="AD7" s="227"/>
      <c r="AE7" s="227"/>
      <c r="AF7" s="228"/>
      <c r="AG7" s="243"/>
      <c r="AH7" s="227"/>
      <c r="AI7" s="227"/>
      <c r="AJ7" s="227"/>
      <c r="AK7" s="228"/>
    </row>
    <row r="8" spans="1:43" ht="18" customHeight="1">
      <c r="A8" s="247">
        <v>2</v>
      </c>
      <c r="B8" s="248" t="s">
        <v>22</v>
      </c>
      <c r="C8" s="221">
        <v>2360213</v>
      </c>
      <c r="D8" s="220">
        <v>18041256</v>
      </c>
      <c r="E8" s="221">
        <v>48804853</v>
      </c>
      <c r="F8" s="220">
        <v>66846109</v>
      </c>
      <c r="G8" s="233">
        <v>69206322</v>
      </c>
      <c r="H8" s="232">
        <f>'Anne-8'!O10</f>
        <v>2261524</v>
      </c>
      <c r="I8" s="220">
        <f>'Anne-7'!N10</f>
        <v>14495378</v>
      </c>
      <c r="J8" s="220">
        <f>'Anne-6'!Z10</f>
        <v>49440638</v>
      </c>
      <c r="K8" s="220">
        <f>SUM(I8:J8)</f>
        <v>63936016</v>
      </c>
      <c r="L8" s="233">
        <f>K8+H8</f>
        <v>66197540</v>
      </c>
      <c r="M8" s="232">
        <v>1970060</v>
      </c>
      <c r="N8" s="220">
        <v>215963</v>
      </c>
      <c r="O8" s="222">
        <v>8804278</v>
      </c>
      <c r="P8" s="220">
        <v>9020241</v>
      </c>
      <c r="Q8" s="233">
        <v>10990301</v>
      </c>
      <c r="R8" s="232">
        <f>'Anne-8'!D10</f>
        <v>1871305</v>
      </c>
      <c r="S8" s="220">
        <f>'Anne-7'!F10</f>
        <v>108004</v>
      </c>
      <c r="T8" s="220">
        <f>'Anne-6'!D10</f>
        <v>9111798</v>
      </c>
      <c r="U8" s="220">
        <f>SUM(S8:T8)</f>
        <v>9219802</v>
      </c>
      <c r="V8" s="233">
        <f>U8+R8</f>
        <v>11091107</v>
      </c>
      <c r="W8" s="232">
        <f>H8-C8</f>
        <v>-98689</v>
      </c>
      <c r="X8" s="220">
        <f>I8-D8</f>
        <v>-3545878</v>
      </c>
      <c r="Y8" s="220">
        <f>J8-E8</f>
        <v>635785</v>
      </c>
      <c r="Z8" s="220">
        <f>SUM(X8:Y8)</f>
        <v>-2910093</v>
      </c>
      <c r="AA8" s="233">
        <f>Z8+W8</f>
        <v>-3008782</v>
      </c>
      <c r="AB8" s="232">
        <f>R8-M8</f>
        <v>-98755</v>
      </c>
      <c r="AC8" s="220">
        <f>S8-N8</f>
        <v>-107959</v>
      </c>
      <c r="AD8" s="220">
        <f>T8-O8</f>
        <v>307520</v>
      </c>
      <c r="AE8" s="220">
        <f>SUM(AC8:AD8)</f>
        <v>199561</v>
      </c>
      <c r="AF8" s="233">
        <f>AE8+AB8</f>
        <v>100806</v>
      </c>
      <c r="AG8" s="240">
        <f>-(AB8)/W8*100</f>
        <v>-100.06687675424818</v>
      </c>
      <c r="AH8" s="219">
        <f>AC8/X8*100</f>
        <v>3.0446337973274886</v>
      </c>
      <c r="AI8" s="219">
        <f>AD8/Y8*100</f>
        <v>48.368552262164094</v>
      </c>
      <c r="AJ8" s="219">
        <f>AE8/Z8*100</f>
        <v>-6.857547164300247</v>
      </c>
      <c r="AK8" s="244">
        <f>AF8/AA8*100</f>
        <v>-3.350392284984422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7">
        <v>3</v>
      </c>
      <c r="B9" s="248" t="s">
        <v>23</v>
      </c>
      <c r="C9" s="221">
        <v>229854</v>
      </c>
      <c r="D9" s="220">
        <v>233002</v>
      </c>
      <c r="E9" s="221">
        <v>13975073</v>
      </c>
      <c r="F9" s="220">
        <v>14208075</v>
      </c>
      <c r="G9" s="233">
        <v>14437929</v>
      </c>
      <c r="H9" s="232">
        <f>'Anne-8'!O11</f>
        <v>196741</v>
      </c>
      <c r="I9" s="220">
        <f>'Anne-7'!N11</f>
        <v>213144</v>
      </c>
      <c r="J9" s="220">
        <f>'Anne-6'!Z11</f>
        <v>14123140</v>
      </c>
      <c r="K9" s="220">
        <f aca="true" t="shared" si="0" ref="K9:K35">SUM(I9:J9)</f>
        <v>14336284</v>
      </c>
      <c r="L9" s="233">
        <f aca="true" t="shared" si="1" ref="L9:L35">K9+H9</f>
        <v>14533025</v>
      </c>
      <c r="M9" s="232">
        <v>227229</v>
      </c>
      <c r="N9" s="220">
        <v>103900</v>
      </c>
      <c r="O9" s="222">
        <v>1161479</v>
      </c>
      <c r="P9" s="220">
        <v>1265379</v>
      </c>
      <c r="Q9" s="233">
        <v>1492608</v>
      </c>
      <c r="R9" s="232">
        <f>'Anne-8'!D11</f>
        <v>193952</v>
      </c>
      <c r="S9" s="220">
        <f>'Anne-7'!F11</f>
        <v>91626</v>
      </c>
      <c r="T9" s="220">
        <f>'Anne-6'!D11</f>
        <v>1136616</v>
      </c>
      <c r="U9" s="220">
        <f aca="true" t="shared" si="2" ref="U9:U32">SUM(S9:T9)</f>
        <v>1228242</v>
      </c>
      <c r="V9" s="233">
        <f aca="true" t="shared" si="3" ref="V9:V32">U9+R9</f>
        <v>1422194</v>
      </c>
      <c r="W9" s="232">
        <f aca="true" t="shared" si="4" ref="W9:Y35">H9-C9</f>
        <v>-33113</v>
      </c>
      <c r="X9" s="220">
        <f t="shared" si="4"/>
        <v>-19858</v>
      </c>
      <c r="Y9" s="220">
        <f t="shared" si="4"/>
        <v>148067</v>
      </c>
      <c r="Z9" s="220">
        <f aca="true" t="shared" si="5" ref="Z9:Z32">SUM(X9:Y9)</f>
        <v>128209</v>
      </c>
      <c r="AA9" s="233">
        <f aca="true" t="shared" si="6" ref="AA9:AA32">Z9+W9</f>
        <v>95096</v>
      </c>
      <c r="AB9" s="232">
        <f aca="true" t="shared" si="7" ref="AB9:AD32">R9-M9</f>
        <v>-33277</v>
      </c>
      <c r="AC9" s="220">
        <f t="shared" si="7"/>
        <v>-12274</v>
      </c>
      <c r="AD9" s="220">
        <f t="shared" si="7"/>
        <v>-24863</v>
      </c>
      <c r="AE9" s="220">
        <f aca="true" t="shared" si="8" ref="AE9:AE32">SUM(AC9:AD9)</f>
        <v>-37137</v>
      </c>
      <c r="AF9" s="233">
        <f aca="true" t="shared" si="9" ref="AF9:AF32">AE9+AB9</f>
        <v>-70414</v>
      </c>
      <c r="AG9" s="240">
        <f aca="true" t="shared" si="10" ref="AG9:AG36">-(AB9)/W9*100</f>
        <v>-100.49527375955063</v>
      </c>
      <c r="AH9" s="219">
        <f aca="true" t="shared" si="11" ref="AH9:AK36">AC9/X9*100</f>
        <v>61.80884278376473</v>
      </c>
      <c r="AI9" s="219">
        <f t="shared" si="11"/>
        <v>-16.79172266609035</v>
      </c>
      <c r="AJ9" s="219">
        <f t="shared" si="11"/>
        <v>-28.965985227246136</v>
      </c>
      <c r="AK9" s="428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7">
        <v>4</v>
      </c>
      <c r="B10" s="248" t="s">
        <v>24</v>
      </c>
      <c r="C10" s="221">
        <v>610323</v>
      </c>
      <c r="D10" s="220">
        <v>10553322</v>
      </c>
      <c r="E10" s="221">
        <v>52951947</v>
      </c>
      <c r="F10" s="220">
        <v>63505269</v>
      </c>
      <c r="G10" s="233">
        <v>64115592</v>
      </c>
      <c r="H10" s="232">
        <f>'Anne-8'!O12</f>
        <v>560031</v>
      </c>
      <c r="I10" s="220">
        <f>'Anne-7'!N12</f>
        <v>8890455</v>
      </c>
      <c r="J10" s="220">
        <f>'Anne-6'!Z12</f>
        <v>52129842</v>
      </c>
      <c r="K10" s="220">
        <f t="shared" si="0"/>
        <v>61020297</v>
      </c>
      <c r="L10" s="233">
        <f t="shared" si="1"/>
        <v>61580328</v>
      </c>
      <c r="M10" s="232">
        <v>595139</v>
      </c>
      <c r="N10" s="220">
        <v>386867</v>
      </c>
      <c r="O10" s="222">
        <v>5747811</v>
      </c>
      <c r="P10" s="220">
        <v>6134678</v>
      </c>
      <c r="Q10" s="233">
        <v>6729817</v>
      </c>
      <c r="R10" s="232">
        <f>'Anne-8'!D12</f>
        <v>543899</v>
      </c>
      <c r="S10" s="220">
        <f>'Anne-7'!F12</f>
        <v>230856</v>
      </c>
      <c r="T10" s="220">
        <f>'Anne-6'!D12</f>
        <v>5772401</v>
      </c>
      <c r="U10" s="220">
        <f t="shared" si="2"/>
        <v>6003257</v>
      </c>
      <c r="V10" s="233">
        <f t="shared" si="3"/>
        <v>6547156</v>
      </c>
      <c r="W10" s="232">
        <f t="shared" si="4"/>
        <v>-50292</v>
      </c>
      <c r="X10" s="220">
        <f t="shared" si="4"/>
        <v>-1662867</v>
      </c>
      <c r="Y10" s="220">
        <f t="shared" si="4"/>
        <v>-822105</v>
      </c>
      <c r="Z10" s="220">
        <f t="shared" si="5"/>
        <v>-2484972</v>
      </c>
      <c r="AA10" s="233">
        <f t="shared" si="6"/>
        <v>-2535264</v>
      </c>
      <c r="AB10" s="232">
        <f t="shared" si="7"/>
        <v>-51240</v>
      </c>
      <c r="AC10" s="220">
        <f t="shared" si="7"/>
        <v>-156011</v>
      </c>
      <c r="AD10" s="220">
        <f t="shared" si="7"/>
        <v>24590</v>
      </c>
      <c r="AE10" s="220">
        <f t="shared" si="8"/>
        <v>-131421</v>
      </c>
      <c r="AF10" s="233">
        <f t="shared" si="9"/>
        <v>-182661</v>
      </c>
      <c r="AG10" s="240">
        <f t="shared" si="10"/>
        <v>-101.88499164877118</v>
      </c>
      <c r="AH10" s="219">
        <f t="shared" si="11"/>
        <v>9.382049195756485</v>
      </c>
      <c r="AI10" s="219">
        <f t="shared" si="11"/>
        <v>-2.9911021098278203</v>
      </c>
      <c r="AJ10" s="219">
        <f t="shared" si="11"/>
        <v>5.288631018780091</v>
      </c>
      <c r="AK10" s="244">
        <f t="shared" si="11"/>
        <v>7.204811806581089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7">
        <v>5</v>
      </c>
      <c r="B11" s="248" t="s">
        <v>25</v>
      </c>
      <c r="C11" s="221">
        <v>0</v>
      </c>
      <c r="D11" s="220">
        <v>0</v>
      </c>
      <c r="E11" s="221">
        <v>0</v>
      </c>
      <c r="F11" s="220">
        <v>0</v>
      </c>
      <c r="G11" s="233">
        <v>0</v>
      </c>
      <c r="H11" s="232">
        <f>'Anne-8'!O13</f>
        <v>0</v>
      </c>
      <c r="I11" s="220">
        <f>'Anne-7'!N13</f>
        <v>0</v>
      </c>
      <c r="J11" s="220">
        <f>'Anne-6'!Z13</f>
        <v>0</v>
      </c>
      <c r="K11" s="220">
        <f t="shared" si="0"/>
        <v>0</v>
      </c>
      <c r="L11" s="233">
        <f t="shared" si="1"/>
        <v>0</v>
      </c>
      <c r="M11" s="232">
        <v>0</v>
      </c>
      <c r="N11" s="220">
        <v>0</v>
      </c>
      <c r="O11" s="222">
        <v>0</v>
      </c>
      <c r="P11" s="220">
        <v>0</v>
      </c>
      <c r="Q11" s="233">
        <v>0</v>
      </c>
      <c r="R11" s="232">
        <f>'Anne-8'!D13</f>
        <v>0</v>
      </c>
      <c r="S11" s="220">
        <f>'Anne-7'!F13</f>
        <v>0</v>
      </c>
      <c r="T11" s="220">
        <f>'Anne-6'!D13</f>
        <v>0</v>
      </c>
      <c r="U11" s="220">
        <f t="shared" si="2"/>
        <v>0</v>
      </c>
      <c r="V11" s="233">
        <f t="shared" si="3"/>
        <v>0</v>
      </c>
      <c r="W11" s="232">
        <f t="shared" si="4"/>
        <v>0</v>
      </c>
      <c r="X11" s="220">
        <f t="shared" si="4"/>
        <v>0</v>
      </c>
      <c r="Y11" s="220">
        <f t="shared" si="4"/>
        <v>0</v>
      </c>
      <c r="Z11" s="220">
        <f t="shared" si="5"/>
        <v>0</v>
      </c>
      <c r="AA11" s="233">
        <f t="shared" si="6"/>
        <v>0</v>
      </c>
      <c r="AB11" s="232">
        <f t="shared" si="7"/>
        <v>0</v>
      </c>
      <c r="AC11" s="220">
        <f t="shared" si="7"/>
        <v>0</v>
      </c>
      <c r="AD11" s="220">
        <f t="shared" si="7"/>
        <v>0</v>
      </c>
      <c r="AE11" s="220">
        <f t="shared" si="8"/>
        <v>0</v>
      </c>
      <c r="AF11" s="233">
        <f t="shared" si="9"/>
        <v>0</v>
      </c>
      <c r="AG11" s="240"/>
      <c r="AH11" s="219"/>
      <c r="AI11" s="219"/>
      <c r="AJ11" s="219"/>
      <c r="AK11" s="244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7">
        <v>6</v>
      </c>
      <c r="B12" s="248" t="s">
        <v>26</v>
      </c>
      <c r="C12" s="221">
        <v>1830867</v>
      </c>
      <c r="D12" s="220">
        <v>12545126</v>
      </c>
      <c r="E12" s="221">
        <v>40792632</v>
      </c>
      <c r="F12" s="220">
        <v>53337758</v>
      </c>
      <c r="G12" s="233">
        <v>55168625</v>
      </c>
      <c r="H12" s="232">
        <f>'Anne-8'!O14</f>
        <v>1786945</v>
      </c>
      <c r="I12" s="220">
        <f>'Anne-7'!N14</f>
        <v>10100628</v>
      </c>
      <c r="J12" s="220">
        <f>'Anne-6'!Z14</f>
        <v>40179495</v>
      </c>
      <c r="K12" s="220">
        <f t="shared" si="0"/>
        <v>50280123</v>
      </c>
      <c r="L12" s="233">
        <f t="shared" si="1"/>
        <v>52067068</v>
      </c>
      <c r="M12" s="232">
        <v>1598630</v>
      </c>
      <c r="N12" s="220">
        <v>231887</v>
      </c>
      <c r="O12" s="222">
        <v>4000739</v>
      </c>
      <c r="P12" s="220">
        <v>4232626</v>
      </c>
      <c r="Q12" s="233">
        <v>5831256</v>
      </c>
      <c r="R12" s="232">
        <f>'Anne-8'!D14</f>
        <v>1561561</v>
      </c>
      <c r="S12" s="220">
        <f>'Anne-7'!F14</f>
        <v>131392</v>
      </c>
      <c r="T12" s="220">
        <f>'Anne-6'!D14</f>
        <v>4122846</v>
      </c>
      <c r="U12" s="220">
        <f t="shared" si="2"/>
        <v>4254238</v>
      </c>
      <c r="V12" s="233">
        <f t="shared" si="3"/>
        <v>5815799</v>
      </c>
      <c r="W12" s="232">
        <f t="shared" si="4"/>
        <v>-43922</v>
      </c>
      <c r="X12" s="220">
        <f t="shared" si="4"/>
        <v>-2444498</v>
      </c>
      <c r="Y12" s="220">
        <f t="shared" si="4"/>
        <v>-613137</v>
      </c>
      <c r="Z12" s="220">
        <f t="shared" si="5"/>
        <v>-3057635</v>
      </c>
      <c r="AA12" s="233">
        <f t="shared" si="6"/>
        <v>-3101557</v>
      </c>
      <c r="AB12" s="232">
        <f t="shared" si="7"/>
        <v>-37069</v>
      </c>
      <c r="AC12" s="220">
        <f t="shared" si="7"/>
        <v>-100495</v>
      </c>
      <c r="AD12" s="220">
        <f t="shared" si="7"/>
        <v>122107</v>
      </c>
      <c r="AE12" s="220">
        <f t="shared" si="8"/>
        <v>21612</v>
      </c>
      <c r="AF12" s="233">
        <f t="shared" si="9"/>
        <v>-15457</v>
      </c>
      <c r="AG12" s="240">
        <f t="shared" si="10"/>
        <v>-84.39734074040344</v>
      </c>
      <c r="AH12" s="219">
        <f t="shared" si="11"/>
        <v>4.111069021124174</v>
      </c>
      <c r="AI12" s="219">
        <f t="shared" si="11"/>
        <v>-19.915125004689003</v>
      </c>
      <c r="AJ12" s="219">
        <f t="shared" si="11"/>
        <v>-0.706820794502941</v>
      </c>
      <c r="AK12" s="244">
        <f t="shared" si="11"/>
        <v>0.49836259659261456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7">
        <v>7</v>
      </c>
      <c r="B13" s="248" t="s">
        <v>27</v>
      </c>
      <c r="C13" s="221">
        <v>591881</v>
      </c>
      <c r="D13" s="220">
        <v>7393674</v>
      </c>
      <c r="E13" s="221">
        <v>15172641</v>
      </c>
      <c r="F13" s="220">
        <v>22566315</v>
      </c>
      <c r="G13" s="233">
        <v>23158196</v>
      </c>
      <c r="H13" s="232">
        <f>'Anne-8'!O15</f>
        <v>571344</v>
      </c>
      <c r="I13" s="220">
        <f>'Anne-7'!N15</f>
        <v>4976674</v>
      </c>
      <c r="J13" s="220">
        <f>'Anne-6'!Z15</f>
        <v>14551198</v>
      </c>
      <c r="K13" s="220">
        <f t="shared" si="0"/>
        <v>19527872</v>
      </c>
      <c r="L13" s="233">
        <f t="shared" si="1"/>
        <v>20099216</v>
      </c>
      <c r="M13" s="232">
        <v>542975</v>
      </c>
      <c r="N13" s="220">
        <v>26031</v>
      </c>
      <c r="O13" s="222">
        <v>2972891</v>
      </c>
      <c r="P13" s="220">
        <v>2998922</v>
      </c>
      <c r="Q13" s="233">
        <v>3541897</v>
      </c>
      <c r="R13" s="232">
        <f>'Anne-8'!D15</f>
        <v>515927</v>
      </c>
      <c r="S13" s="220">
        <f>'Anne-7'!F15</f>
        <v>20809</v>
      </c>
      <c r="T13" s="220">
        <f>'Anne-6'!D15</f>
        <v>3022224</v>
      </c>
      <c r="U13" s="220">
        <f t="shared" si="2"/>
        <v>3043033</v>
      </c>
      <c r="V13" s="233">
        <f t="shared" si="3"/>
        <v>3558960</v>
      </c>
      <c r="W13" s="232">
        <f t="shared" si="4"/>
        <v>-20537</v>
      </c>
      <c r="X13" s="220">
        <f t="shared" si="4"/>
        <v>-2417000</v>
      </c>
      <c r="Y13" s="220">
        <f t="shared" si="4"/>
        <v>-621443</v>
      </c>
      <c r="Z13" s="220">
        <f t="shared" si="5"/>
        <v>-3038443</v>
      </c>
      <c r="AA13" s="233">
        <f t="shared" si="6"/>
        <v>-3058980</v>
      </c>
      <c r="AB13" s="232">
        <f t="shared" si="7"/>
        <v>-27048</v>
      </c>
      <c r="AC13" s="220">
        <f t="shared" si="7"/>
        <v>-5222</v>
      </c>
      <c r="AD13" s="220">
        <f t="shared" si="7"/>
        <v>49333</v>
      </c>
      <c r="AE13" s="220">
        <f t="shared" si="8"/>
        <v>44111</v>
      </c>
      <c r="AF13" s="233">
        <f t="shared" si="9"/>
        <v>17063</v>
      </c>
      <c r="AG13" s="240">
        <f>-(AB13)/W13*100</f>
        <v>-131.70375419973706</v>
      </c>
      <c r="AH13" s="219">
        <f t="shared" si="11"/>
        <v>0.21605295821266035</v>
      </c>
      <c r="AI13" s="219">
        <f t="shared" si="11"/>
        <v>-7.938459359909114</v>
      </c>
      <c r="AJ13" s="219">
        <f t="shared" si="11"/>
        <v>-1.4517632879734785</v>
      </c>
      <c r="AK13" s="428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7">
        <v>8</v>
      </c>
      <c r="B14" s="248" t="s">
        <v>28</v>
      </c>
      <c r="C14" s="221">
        <v>308298</v>
      </c>
      <c r="D14" s="220">
        <v>775634</v>
      </c>
      <c r="E14" s="221">
        <v>7195700</v>
      </c>
      <c r="F14" s="220">
        <v>7971334</v>
      </c>
      <c r="G14" s="233">
        <v>8279632</v>
      </c>
      <c r="H14" s="232">
        <f>'Anne-8'!O16</f>
        <v>292670</v>
      </c>
      <c r="I14" s="220">
        <f>'Anne-7'!N16</f>
        <v>256067</v>
      </c>
      <c r="J14" s="220">
        <f>'Anne-6'!Z16</f>
        <v>6549644</v>
      </c>
      <c r="K14" s="220">
        <f t="shared" si="0"/>
        <v>6805711</v>
      </c>
      <c r="L14" s="233">
        <f t="shared" si="1"/>
        <v>7098381</v>
      </c>
      <c r="M14" s="232">
        <v>301845</v>
      </c>
      <c r="N14" s="220">
        <v>67783</v>
      </c>
      <c r="O14" s="222">
        <v>1609793</v>
      </c>
      <c r="P14" s="220">
        <v>1677576</v>
      </c>
      <c r="Q14" s="233">
        <v>1979421</v>
      </c>
      <c r="R14" s="232">
        <f>'Anne-8'!D16</f>
        <v>285983</v>
      </c>
      <c r="S14" s="220">
        <f>'Anne-7'!F16</f>
        <v>59766</v>
      </c>
      <c r="T14" s="220">
        <f>'Anne-6'!D16</f>
        <v>1527016</v>
      </c>
      <c r="U14" s="220">
        <f t="shared" si="2"/>
        <v>1586782</v>
      </c>
      <c r="V14" s="233">
        <f t="shared" si="3"/>
        <v>1872765</v>
      </c>
      <c r="W14" s="232">
        <f t="shared" si="4"/>
        <v>-15628</v>
      </c>
      <c r="X14" s="220">
        <f t="shared" si="4"/>
        <v>-519567</v>
      </c>
      <c r="Y14" s="220">
        <f t="shared" si="4"/>
        <v>-646056</v>
      </c>
      <c r="Z14" s="220">
        <f t="shared" si="5"/>
        <v>-1165623</v>
      </c>
      <c r="AA14" s="233">
        <f t="shared" si="6"/>
        <v>-1181251</v>
      </c>
      <c r="AB14" s="232">
        <f t="shared" si="7"/>
        <v>-15862</v>
      </c>
      <c r="AC14" s="220">
        <f t="shared" si="7"/>
        <v>-8017</v>
      </c>
      <c r="AD14" s="220">
        <f t="shared" si="7"/>
        <v>-82777</v>
      </c>
      <c r="AE14" s="220">
        <f t="shared" si="8"/>
        <v>-90794</v>
      </c>
      <c r="AF14" s="233">
        <f t="shared" si="9"/>
        <v>-106656</v>
      </c>
      <c r="AG14" s="240">
        <f t="shared" si="10"/>
        <v>-101.49731251599692</v>
      </c>
      <c r="AH14" s="219">
        <f t="shared" si="11"/>
        <v>1.5430156264735828</v>
      </c>
      <c r="AI14" s="219">
        <f t="shared" si="11"/>
        <v>12.812666394244463</v>
      </c>
      <c r="AJ14" s="219">
        <f t="shared" si="11"/>
        <v>7.789310952168926</v>
      </c>
      <c r="AK14" s="244">
        <f t="shared" si="11"/>
        <v>9.029071721420765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7">
        <v>9</v>
      </c>
      <c r="B15" s="248" t="s">
        <v>29</v>
      </c>
      <c r="C15" s="221">
        <v>204312</v>
      </c>
      <c r="D15" s="220">
        <v>738785</v>
      </c>
      <c r="E15" s="221">
        <v>5568050</v>
      </c>
      <c r="F15" s="220">
        <v>6306835</v>
      </c>
      <c r="G15" s="233">
        <v>6511147</v>
      </c>
      <c r="H15" s="232">
        <f>'Anne-8'!O17</f>
        <v>199085</v>
      </c>
      <c r="I15" s="220">
        <f>'Anne-7'!N17</f>
        <v>761109</v>
      </c>
      <c r="J15" s="220">
        <f>'Anne-6'!Z17</f>
        <v>6041231</v>
      </c>
      <c r="K15" s="220">
        <f t="shared" si="0"/>
        <v>6802340</v>
      </c>
      <c r="L15" s="233">
        <f t="shared" si="1"/>
        <v>7001425</v>
      </c>
      <c r="M15" s="232">
        <v>203969</v>
      </c>
      <c r="N15" s="220">
        <v>76531</v>
      </c>
      <c r="O15" s="222">
        <v>969904</v>
      </c>
      <c r="P15" s="220">
        <v>1046435</v>
      </c>
      <c r="Q15" s="233">
        <v>1250404</v>
      </c>
      <c r="R15" s="232">
        <f>'Anne-8'!D17</f>
        <v>198715</v>
      </c>
      <c r="S15" s="220">
        <f>'Anne-7'!F17</f>
        <v>69495</v>
      </c>
      <c r="T15" s="220">
        <f>'Anne-6'!D17</f>
        <v>1084195</v>
      </c>
      <c r="U15" s="220">
        <f t="shared" si="2"/>
        <v>1153690</v>
      </c>
      <c r="V15" s="233">
        <f t="shared" si="3"/>
        <v>1352405</v>
      </c>
      <c r="W15" s="232">
        <f t="shared" si="4"/>
        <v>-5227</v>
      </c>
      <c r="X15" s="220">
        <f t="shared" si="4"/>
        <v>22324</v>
      </c>
      <c r="Y15" s="220">
        <f t="shared" si="4"/>
        <v>473181</v>
      </c>
      <c r="Z15" s="220">
        <f t="shared" si="5"/>
        <v>495505</v>
      </c>
      <c r="AA15" s="233">
        <f t="shared" si="6"/>
        <v>490278</v>
      </c>
      <c r="AB15" s="232">
        <f t="shared" si="7"/>
        <v>-5254</v>
      </c>
      <c r="AC15" s="220">
        <f t="shared" si="7"/>
        <v>-7036</v>
      </c>
      <c r="AD15" s="220">
        <f t="shared" si="7"/>
        <v>114291</v>
      </c>
      <c r="AE15" s="220">
        <f t="shared" si="8"/>
        <v>107255</v>
      </c>
      <c r="AF15" s="233">
        <f t="shared" si="9"/>
        <v>102001</v>
      </c>
      <c r="AG15" s="240">
        <f t="shared" si="10"/>
        <v>-100.51654868949684</v>
      </c>
      <c r="AH15" s="219">
        <f t="shared" si="11"/>
        <v>-31.517649166815982</v>
      </c>
      <c r="AI15" s="219">
        <f t="shared" si="11"/>
        <v>24.1537593436761</v>
      </c>
      <c r="AJ15" s="219">
        <f t="shared" si="11"/>
        <v>21.645593889062674</v>
      </c>
      <c r="AK15" s="244">
        <f t="shared" si="11"/>
        <v>20.804727114004706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7">
        <v>10</v>
      </c>
      <c r="B16" s="248" t="s">
        <v>30</v>
      </c>
      <c r="C16" s="221">
        <v>0</v>
      </c>
      <c r="D16" s="220">
        <v>0</v>
      </c>
      <c r="E16" s="221">
        <v>0</v>
      </c>
      <c r="F16" s="220">
        <v>0</v>
      </c>
      <c r="G16" s="233">
        <v>0</v>
      </c>
      <c r="H16" s="232">
        <f>'Anne-8'!O18</f>
        <v>0</v>
      </c>
      <c r="I16" s="220">
        <f>'Anne-7'!N18</f>
        <v>0</v>
      </c>
      <c r="J16" s="220">
        <f>'Anne-6'!Z18</f>
        <v>0</v>
      </c>
      <c r="K16" s="220">
        <f t="shared" si="0"/>
        <v>0</v>
      </c>
      <c r="L16" s="233">
        <f t="shared" si="1"/>
        <v>0</v>
      </c>
      <c r="M16" s="232">
        <v>0</v>
      </c>
      <c r="N16" s="220">
        <v>0</v>
      </c>
      <c r="O16" s="222">
        <v>0</v>
      </c>
      <c r="P16" s="220">
        <v>0</v>
      </c>
      <c r="Q16" s="233">
        <v>0</v>
      </c>
      <c r="R16" s="232">
        <f>'Anne-8'!D18</f>
        <v>0</v>
      </c>
      <c r="S16" s="220">
        <f>'Anne-7'!F18</f>
        <v>0</v>
      </c>
      <c r="T16" s="220">
        <f>'Anne-6'!D18</f>
        <v>0</v>
      </c>
      <c r="U16" s="220">
        <f t="shared" si="2"/>
        <v>0</v>
      </c>
      <c r="V16" s="233">
        <f t="shared" si="3"/>
        <v>0</v>
      </c>
      <c r="W16" s="232">
        <f t="shared" si="4"/>
        <v>0</v>
      </c>
      <c r="X16" s="220">
        <f t="shared" si="4"/>
        <v>0</v>
      </c>
      <c r="Y16" s="220">
        <f t="shared" si="4"/>
        <v>0</v>
      </c>
      <c r="Z16" s="220">
        <f t="shared" si="5"/>
        <v>0</v>
      </c>
      <c r="AA16" s="233">
        <f t="shared" si="6"/>
        <v>0</v>
      </c>
      <c r="AB16" s="232">
        <f t="shared" si="7"/>
        <v>0</v>
      </c>
      <c r="AC16" s="220">
        <f t="shared" si="7"/>
        <v>0</v>
      </c>
      <c r="AD16" s="220">
        <f t="shared" si="7"/>
        <v>0</v>
      </c>
      <c r="AE16" s="220">
        <f t="shared" si="8"/>
        <v>0</v>
      </c>
      <c r="AF16" s="233">
        <f t="shared" si="9"/>
        <v>0</v>
      </c>
      <c r="AG16" s="240"/>
      <c r="AH16" s="219"/>
      <c r="AI16" s="219"/>
      <c r="AJ16" s="219"/>
      <c r="AK16" s="244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7">
        <v>11</v>
      </c>
      <c r="B17" s="248" t="s">
        <v>31</v>
      </c>
      <c r="C17" s="221">
        <v>2689455</v>
      </c>
      <c r="D17" s="220">
        <v>18002404</v>
      </c>
      <c r="E17" s="221">
        <v>37727062</v>
      </c>
      <c r="F17" s="220">
        <v>55729466</v>
      </c>
      <c r="G17" s="233">
        <v>58418921</v>
      </c>
      <c r="H17" s="232">
        <f>'Anne-8'!O19</f>
        <v>2450790</v>
      </c>
      <c r="I17" s="220">
        <f>'Anne-7'!N19</f>
        <v>15121015</v>
      </c>
      <c r="J17" s="220">
        <f>'Anne-6'!Z19</f>
        <v>37661180</v>
      </c>
      <c r="K17" s="220">
        <f t="shared" si="0"/>
        <v>52782195</v>
      </c>
      <c r="L17" s="233">
        <f t="shared" si="1"/>
        <v>55232985</v>
      </c>
      <c r="M17" s="232">
        <v>1963247</v>
      </c>
      <c r="N17" s="220">
        <v>361714</v>
      </c>
      <c r="O17" s="222">
        <v>6552974</v>
      </c>
      <c r="P17" s="220">
        <v>6914688</v>
      </c>
      <c r="Q17" s="233">
        <v>8877935</v>
      </c>
      <c r="R17" s="232">
        <f>'Anne-8'!D19</f>
        <v>1705830</v>
      </c>
      <c r="S17" s="220">
        <f>'Anne-7'!F19</f>
        <v>190936</v>
      </c>
      <c r="T17" s="220">
        <f>'Anne-6'!D19</f>
        <v>6807210</v>
      </c>
      <c r="U17" s="220">
        <f t="shared" si="2"/>
        <v>6998146</v>
      </c>
      <c r="V17" s="233">
        <f t="shared" si="3"/>
        <v>8703976</v>
      </c>
      <c r="W17" s="232">
        <f t="shared" si="4"/>
        <v>-238665</v>
      </c>
      <c r="X17" s="220">
        <f t="shared" si="4"/>
        <v>-2881389</v>
      </c>
      <c r="Y17" s="220">
        <f t="shared" si="4"/>
        <v>-65882</v>
      </c>
      <c r="Z17" s="220">
        <f t="shared" si="5"/>
        <v>-2947271</v>
      </c>
      <c r="AA17" s="233">
        <f t="shared" si="6"/>
        <v>-3185936</v>
      </c>
      <c r="AB17" s="232">
        <f t="shared" si="7"/>
        <v>-257417</v>
      </c>
      <c r="AC17" s="220">
        <f t="shared" si="7"/>
        <v>-170778</v>
      </c>
      <c r="AD17" s="220">
        <f t="shared" si="7"/>
        <v>254236</v>
      </c>
      <c r="AE17" s="220">
        <f t="shared" si="8"/>
        <v>83458</v>
      </c>
      <c r="AF17" s="233">
        <f t="shared" si="9"/>
        <v>-173959</v>
      </c>
      <c r="AG17" s="240">
        <f t="shared" si="10"/>
        <v>-107.85703810780802</v>
      </c>
      <c r="AH17" s="219">
        <f t="shared" si="11"/>
        <v>5.926933156196543</v>
      </c>
      <c r="AI17" s="219">
        <f t="shared" si="11"/>
        <v>-385.89599587140646</v>
      </c>
      <c r="AJ17" s="219">
        <f t="shared" si="11"/>
        <v>-2.8317043122264627</v>
      </c>
      <c r="AK17" s="244">
        <f t="shared" si="11"/>
        <v>5.460216401082759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7">
        <v>12</v>
      </c>
      <c r="B18" s="248" t="s">
        <v>32</v>
      </c>
      <c r="C18" s="221">
        <v>3189796</v>
      </c>
      <c r="D18" s="220">
        <v>7720347</v>
      </c>
      <c r="E18" s="221">
        <v>26303237</v>
      </c>
      <c r="F18" s="220">
        <v>34023584</v>
      </c>
      <c r="G18" s="233">
        <v>37213380</v>
      </c>
      <c r="H18" s="232">
        <f>'Anne-8'!O20</f>
        <v>3094549</v>
      </c>
      <c r="I18" s="220">
        <f>'Anne-7'!N20</f>
        <v>5713062</v>
      </c>
      <c r="J18" s="220">
        <f>'Anne-6'!Z20</f>
        <v>26532166</v>
      </c>
      <c r="K18" s="220">
        <f t="shared" si="0"/>
        <v>32245228</v>
      </c>
      <c r="L18" s="233">
        <f t="shared" si="1"/>
        <v>35339777</v>
      </c>
      <c r="M18" s="232">
        <v>3065384</v>
      </c>
      <c r="N18" s="220">
        <v>336779</v>
      </c>
      <c r="O18" s="222">
        <v>6775671</v>
      </c>
      <c r="P18" s="220">
        <v>7112450</v>
      </c>
      <c r="Q18" s="233">
        <v>10177834</v>
      </c>
      <c r="R18" s="232">
        <f>'Anne-8'!D20</f>
        <v>2972537</v>
      </c>
      <c r="S18" s="220">
        <f>'Anne-7'!F20</f>
        <v>293811</v>
      </c>
      <c r="T18" s="220">
        <f>'Anne-6'!D20</f>
        <v>7328110</v>
      </c>
      <c r="U18" s="220">
        <f t="shared" si="2"/>
        <v>7621921</v>
      </c>
      <c r="V18" s="233">
        <f t="shared" si="3"/>
        <v>10594458</v>
      </c>
      <c r="W18" s="232">
        <f t="shared" si="4"/>
        <v>-95247</v>
      </c>
      <c r="X18" s="220">
        <f t="shared" si="4"/>
        <v>-2007285</v>
      </c>
      <c r="Y18" s="220">
        <f t="shared" si="4"/>
        <v>228929</v>
      </c>
      <c r="Z18" s="220">
        <f t="shared" si="5"/>
        <v>-1778356</v>
      </c>
      <c r="AA18" s="233">
        <f t="shared" si="6"/>
        <v>-1873603</v>
      </c>
      <c r="AB18" s="232">
        <f t="shared" si="7"/>
        <v>-92847</v>
      </c>
      <c r="AC18" s="220">
        <f t="shared" si="7"/>
        <v>-42968</v>
      </c>
      <c r="AD18" s="220">
        <f t="shared" si="7"/>
        <v>552439</v>
      </c>
      <c r="AE18" s="220">
        <f t="shared" si="8"/>
        <v>509471</v>
      </c>
      <c r="AF18" s="233">
        <f t="shared" si="9"/>
        <v>416624</v>
      </c>
      <c r="AG18" s="240">
        <f t="shared" si="10"/>
        <v>-97.48023559797159</v>
      </c>
      <c r="AH18" s="219">
        <f t="shared" si="11"/>
        <v>2.1406028541039266</v>
      </c>
      <c r="AI18" s="219">
        <f t="shared" si="11"/>
        <v>241.31455604139273</v>
      </c>
      <c r="AJ18" s="219">
        <f t="shared" si="11"/>
        <v>-28.648425849492455</v>
      </c>
      <c r="AK18" s="428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7">
        <v>13</v>
      </c>
      <c r="B19" s="248" t="s">
        <v>33</v>
      </c>
      <c r="C19" s="221">
        <v>1138702</v>
      </c>
      <c r="D19" s="220">
        <v>9630678</v>
      </c>
      <c r="E19" s="221">
        <v>42034322</v>
      </c>
      <c r="F19" s="220">
        <v>51665000</v>
      </c>
      <c r="G19" s="233">
        <v>52803702</v>
      </c>
      <c r="H19" s="232">
        <f>'Anne-8'!O21</f>
        <v>1120266</v>
      </c>
      <c r="I19" s="220">
        <f>'Anne-7'!N21</f>
        <v>7404380</v>
      </c>
      <c r="J19" s="220">
        <f>'Anne-6'!Z21</f>
        <v>43264213</v>
      </c>
      <c r="K19" s="220">
        <f t="shared" si="0"/>
        <v>50668593</v>
      </c>
      <c r="L19" s="233">
        <f t="shared" si="1"/>
        <v>51788859</v>
      </c>
      <c r="M19" s="232">
        <v>851068</v>
      </c>
      <c r="N19" s="220">
        <v>282073</v>
      </c>
      <c r="O19" s="222">
        <v>4537780</v>
      </c>
      <c r="P19" s="220">
        <v>4819853</v>
      </c>
      <c r="Q19" s="233">
        <v>5670921</v>
      </c>
      <c r="R19" s="232">
        <f>'Anne-8'!D21</f>
        <v>834788</v>
      </c>
      <c r="S19" s="220">
        <f>'Anne-7'!F21</f>
        <v>228417</v>
      </c>
      <c r="T19" s="220">
        <f>'Anne-6'!D21</f>
        <v>4801690</v>
      </c>
      <c r="U19" s="220">
        <f t="shared" si="2"/>
        <v>5030107</v>
      </c>
      <c r="V19" s="233">
        <f t="shared" si="3"/>
        <v>5864895</v>
      </c>
      <c r="W19" s="232">
        <f t="shared" si="4"/>
        <v>-18436</v>
      </c>
      <c r="X19" s="220">
        <f t="shared" si="4"/>
        <v>-2226298</v>
      </c>
      <c r="Y19" s="220">
        <f t="shared" si="4"/>
        <v>1229891</v>
      </c>
      <c r="Z19" s="220">
        <f t="shared" si="5"/>
        <v>-996407</v>
      </c>
      <c r="AA19" s="233">
        <f t="shared" si="6"/>
        <v>-1014843</v>
      </c>
      <c r="AB19" s="232">
        <f t="shared" si="7"/>
        <v>-16280</v>
      </c>
      <c r="AC19" s="220">
        <f t="shared" si="7"/>
        <v>-53656</v>
      </c>
      <c r="AD19" s="220">
        <f t="shared" si="7"/>
        <v>263910</v>
      </c>
      <c r="AE19" s="220">
        <f t="shared" si="8"/>
        <v>210254</v>
      </c>
      <c r="AF19" s="233">
        <f t="shared" si="9"/>
        <v>193974</v>
      </c>
      <c r="AG19" s="240">
        <f t="shared" si="10"/>
        <v>-88.3054892601432</v>
      </c>
      <c r="AH19" s="219">
        <f t="shared" si="11"/>
        <v>2.4100996362571405</v>
      </c>
      <c r="AI19" s="219">
        <f t="shared" si="11"/>
        <v>21.45799912349956</v>
      </c>
      <c r="AJ19" s="219">
        <f t="shared" si="11"/>
        <v>-21.1012166715007</v>
      </c>
      <c r="AK19" s="244">
        <f t="shared" si="11"/>
        <v>-19.113695418897308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7">
        <v>14</v>
      </c>
      <c r="B20" s="248" t="s">
        <v>34</v>
      </c>
      <c r="C20" s="221">
        <v>2645757</v>
      </c>
      <c r="D20" s="220">
        <v>20601053</v>
      </c>
      <c r="E20" s="221">
        <v>49887815</v>
      </c>
      <c r="F20" s="220">
        <v>70488868</v>
      </c>
      <c r="G20" s="233">
        <v>73134625</v>
      </c>
      <c r="H20" s="232">
        <f>'Anne-8'!O22</f>
        <v>2534546</v>
      </c>
      <c r="I20" s="220">
        <f>'Anne-7'!N22</f>
        <v>15187355</v>
      </c>
      <c r="J20" s="220">
        <f>'Anne-6'!Z22</f>
        <v>51657947</v>
      </c>
      <c r="K20" s="220">
        <f t="shared" si="0"/>
        <v>66845302</v>
      </c>
      <c r="L20" s="233">
        <f t="shared" si="1"/>
        <v>69379848</v>
      </c>
      <c r="M20" s="232">
        <v>2240187</v>
      </c>
      <c r="N20" s="220">
        <v>206044</v>
      </c>
      <c r="O20" s="222">
        <v>6020021</v>
      </c>
      <c r="P20" s="220">
        <v>6226065</v>
      </c>
      <c r="Q20" s="233">
        <v>8466252</v>
      </c>
      <c r="R20" s="232">
        <f>'Anne-8'!D22</f>
        <v>2113234</v>
      </c>
      <c r="S20" s="220">
        <f>'Anne-7'!F22</f>
        <v>160560</v>
      </c>
      <c r="T20" s="220">
        <f>'Anne-6'!D22</f>
        <v>6526749</v>
      </c>
      <c r="U20" s="220">
        <f t="shared" si="2"/>
        <v>6687309</v>
      </c>
      <c r="V20" s="233">
        <f t="shared" si="3"/>
        <v>8800543</v>
      </c>
      <c r="W20" s="232">
        <f t="shared" si="4"/>
        <v>-111211</v>
      </c>
      <c r="X20" s="220">
        <f t="shared" si="4"/>
        <v>-5413698</v>
      </c>
      <c r="Y20" s="220">
        <f t="shared" si="4"/>
        <v>1770132</v>
      </c>
      <c r="Z20" s="220">
        <f t="shared" si="5"/>
        <v>-3643566</v>
      </c>
      <c r="AA20" s="233">
        <f t="shared" si="6"/>
        <v>-3754777</v>
      </c>
      <c r="AB20" s="232">
        <f t="shared" si="7"/>
        <v>-126953</v>
      </c>
      <c r="AC20" s="220">
        <f t="shared" si="7"/>
        <v>-45484</v>
      </c>
      <c r="AD20" s="220">
        <f t="shared" si="7"/>
        <v>506728</v>
      </c>
      <c r="AE20" s="220">
        <f t="shared" si="8"/>
        <v>461244</v>
      </c>
      <c r="AF20" s="233">
        <f t="shared" si="9"/>
        <v>334291</v>
      </c>
      <c r="AG20" s="240">
        <f t="shared" si="10"/>
        <v>-114.15507458794542</v>
      </c>
      <c r="AH20" s="219">
        <f t="shared" si="11"/>
        <v>0.8401650775495789</v>
      </c>
      <c r="AI20" s="219">
        <f t="shared" si="11"/>
        <v>28.62656570244479</v>
      </c>
      <c r="AJ20" s="219">
        <f t="shared" si="11"/>
        <v>-12.659136680932912</v>
      </c>
      <c r="AK20" s="428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7">
        <v>15</v>
      </c>
      <c r="B21" s="248" t="s">
        <v>35</v>
      </c>
      <c r="C21" s="221">
        <v>252373</v>
      </c>
      <c r="D21" s="220">
        <v>224755</v>
      </c>
      <c r="E21" s="221">
        <v>8293562</v>
      </c>
      <c r="F21" s="220">
        <v>8518317</v>
      </c>
      <c r="G21" s="233">
        <v>8770690</v>
      </c>
      <c r="H21" s="232">
        <f>'Anne-8'!O23</f>
        <v>217803</v>
      </c>
      <c r="I21" s="220">
        <f>'Anne-7'!N23</f>
        <v>223639</v>
      </c>
      <c r="J21" s="220">
        <f>'Anne-6'!Z23</f>
        <v>8514940</v>
      </c>
      <c r="K21" s="220">
        <f t="shared" si="0"/>
        <v>8738579</v>
      </c>
      <c r="L21" s="233">
        <f t="shared" si="1"/>
        <v>8956382</v>
      </c>
      <c r="M21" s="232">
        <v>252129</v>
      </c>
      <c r="N21" s="220">
        <v>149408</v>
      </c>
      <c r="O21" s="222">
        <v>1466940</v>
      </c>
      <c r="P21" s="220">
        <v>1616348</v>
      </c>
      <c r="Q21" s="233">
        <v>1868477</v>
      </c>
      <c r="R21" s="232">
        <f>'Anne-8'!D23</f>
        <v>217565</v>
      </c>
      <c r="S21" s="220">
        <f>'Anne-7'!F23</f>
        <v>146274</v>
      </c>
      <c r="T21" s="220">
        <f>'Anne-6'!D23</f>
        <v>1590019</v>
      </c>
      <c r="U21" s="220">
        <f t="shared" si="2"/>
        <v>1736293</v>
      </c>
      <c r="V21" s="233">
        <f t="shared" si="3"/>
        <v>1953858</v>
      </c>
      <c r="W21" s="232">
        <f t="shared" si="4"/>
        <v>-34570</v>
      </c>
      <c r="X21" s="220">
        <f t="shared" si="4"/>
        <v>-1116</v>
      </c>
      <c r="Y21" s="220">
        <f t="shared" si="4"/>
        <v>221378</v>
      </c>
      <c r="Z21" s="220">
        <f t="shared" si="5"/>
        <v>220262</v>
      </c>
      <c r="AA21" s="233">
        <f t="shared" si="6"/>
        <v>185692</v>
      </c>
      <c r="AB21" s="232">
        <f t="shared" si="7"/>
        <v>-34564</v>
      </c>
      <c r="AC21" s="220">
        <f t="shared" si="7"/>
        <v>-3134</v>
      </c>
      <c r="AD21" s="220">
        <f t="shared" si="7"/>
        <v>123079</v>
      </c>
      <c r="AE21" s="220">
        <f t="shared" si="8"/>
        <v>119945</v>
      </c>
      <c r="AF21" s="233">
        <f t="shared" si="9"/>
        <v>85381</v>
      </c>
      <c r="AG21" s="240">
        <f t="shared" si="10"/>
        <v>-99.98264391090541</v>
      </c>
      <c r="AH21" s="219">
        <f t="shared" si="11"/>
        <v>280.82437275985666</v>
      </c>
      <c r="AI21" s="219">
        <f t="shared" si="11"/>
        <v>55.596762099214914</v>
      </c>
      <c r="AJ21" s="219">
        <f t="shared" si="11"/>
        <v>54.45560287294222</v>
      </c>
      <c r="AK21" s="244">
        <f t="shared" si="11"/>
        <v>45.979902203649054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7">
        <v>16</v>
      </c>
      <c r="B22" s="248" t="s">
        <v>36</v>
      </c>
      <c r="C22" s="221">
        <v>0</v>
      </c>
      <c r="D22" s="220">
        <v>0</v>
      </c>
      <c r="E22" s="221">
        <v>0</v>
      </c>
      <c r="F22" s="220">
        <v>0</v>
      </c>
      <c r="G22" s="233">
        <v>0</v>
      </c>
      <c r="H22" s="232">
        <f>'Anne-8'!O24</f>
        <v>0</v>
      </c>
      <c r="I22" s="220">
        <f>'Anne-7'!N24</f>
        <v>0</v>
      </c>
      <c r="J22" s="220">
        <f>'Anne-6'!Z24</f>
        <v>0</v>
      </c>
      <c r="K22" s="220">
        <f t="shared" si="0"/>
        <v>0</v>
      </c>
      <c r="L22" s="233">
        <f t="shared" si="1"/>
        <v>0</v>
      </c>
      <c r="M22" s="232">
        <v>0</v>
      </c>
      <c r="N22" s="220">
        <v>0</v>
      </c>
      <c r="O22" s="222">
        <v>0</v>
      </c>
      <c r="P22" s="220">
        <v>0</v>
      </c>
      <c r="Q22" s="233">
        <v>0</v>
      </c>
      <c r="R22" s="232">
        <f>'Anne-8'!D24</f>
        <v>0</v>
      </c>
      <c r="S22" s="220">
        <f>'Anne-7'!F24</f>
        <v>0</v>
      </c>
      <c r="T22" s="220">
        <f>'Anne-6'!D24</f>
        <v>0</v>
      </c>
      <c r="U22" s="220">
        <f t="shared" si="2"/>
        <v>0</v>
      </c>
      <c r="V22" s="233">
        <f t="shared" si="3"/>
        <v>0</v>
      </c>
      <c r="W22" s="232">
        <f t="shared" si="4"/>
        <v>0</v>
      </c>
      <c r="X22" s="220">
        <f t="shared" si="4"/>
        <v>0</v>
      </c>
      <c r="Y22" s="220">
        <f t="shared" si="4"/>
        <v>0</v>
      </c>
      <c r="Z22" s="220">
        <f t="shared" si="5"/>
        <v>0</v>
      </c>
      <c r="AA22" s="233">
        <f t="shared" si="6"/>
        <v>0</v>
      </c>
      <c r="AB22" s="232">
        <f t="shared" si="7"/>
        <v>0</v>
      </c>
      <c r="AC22" s="220">
        <f t="shared" si="7"/>
        <v>0</v>
      </c>
      <c r="AD22" s="220">
        <f t="shared" si="7"/>
        <v>0</v>
      </c>
      <c r="AE22" s="220">
        <f t="shared" si="8"/>
        <v>0</v>
      </c>
      <c r="AF22" s="233">
        <f t="shared" si="9"/>
        <v>0</v>
      </c>
      <c r="AG22" s="240"/>
      <c r="AH22" s="219"/>
      <c r="AI22" s="219"/>
      <c r="AJ22" s="219"/>
      <c r="AK22" s="244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7">
        <v>17</v>
      </c>
      <c r="B23" s="248" t="s">
        <v>37</v>
      </c>
      <c r="C23" s="221">
        <v>462793</v>
      </c>
      <c r="D23" s="220">
        <v>3468706</v>
      </c>
      <c r="E23" s="221">
        <v>23150229</v>
      </c>
      <c r="F23" s="220">
        <v>26618935</v>
      </c>
      <c r="G23" s="233">
        <v>27081728</v>
      </c>
      <c r="H23" s="232">
        <f>'Anne-8'!O25</f>
        <v>395106</v>
      </c>
      <c r="I23" s="220">
        <f>'Anne-7'!N25</f>
        <v>2289825</v>
      </c>
      <c r="J23" s="220">
        <f>'Anne-6'!Z25</f>
        <v>22027214</v>
      </c>
      <c r="K23" s="220">
        <f t="shared" si="0"/>
        <v>24317039</v>
      </c>
      <c r="L23" s="233">
        <f t="shared" si="1"/>
        <v>24712145</v>
      </c>
      <c r="M23" s="232">
        <v>451480</v>
      </c>
      <c r="N23" s="220">
        <v>130341</v>
      </c>
      <c r="O23" s="222">
        <v>4314273</v>
      </c>
      <c r="P23" s="220">
        <v>4444614</v>
      </c>
      <c r="Q23" s="233">
        <v>4896094</v>
      </c>
      <c r="R23" s="232">
        <f>'Anne-8'!D25</f>
        <v>384670</v>
      </c>
      <c r="S23" s="220">
        <f>'Anne-7'!F25</f>
        <v>74264</v>
      </c>
      <c r="T23" s="220">
        <f>'Anne-6'!D25</f>
        <v>4363973</v>
      </c>
      <c r="U23" s="220">
        <f t="shared" si="2"/>
        <v>4438237</v>
      </c>
      <c r="V23" s="233">
        <f t="shared" si="3"/>
        <v>4822907</v>
      </c>
      <c r="W23" s="232">
        <f t="shared" si="4"/>
        <v>-67687</v>
      </c>
      <c r="X23" s="220">
        <f t="shared" si="4"/>
        <v>-1178881</v>
      </c>
      <c r="Y23" s="220">
        <f t="shared" si="4"/>
        <v>-1123015</v>
      </c>
      <c r="Z23" s="220">
        <f t="shared" si="5"/>
        <v>-2301896</v>
      </c>
      <c r="AA23" s="233">
        <f t="shared" si="6"/>
        <v>-2369583</v>
      </c>
      <c r="AB23" s="232">
        <f t="shared" si="7"/>
        <v>-66810</v>
      </c>
      <c r="AC23" s="220">
        <f t="shared" si="7"/>
        <v>-56077</v>
      </c>
      <c r="AD23" s="220">
        <f t="shared" si="7"/>
        <v>49700</v>
      </c>
      <c r="AE23" s="220">
        <f t="shared" si="8"/>
        <v>-6377</v>
      </c>
      <c r="AF23" s="233">
        <f t="shared" si="9"/>
        <v>-73187</v>
      </c>
      <c r="AG23" s="240">
        <f t="shared" si="10"/>
        <v>-98.7043302258927</v>
      </c>
      <c r="AH23" s="219">
        <f t="shared" si="11"/>
        <v>4.756799032302666</v>
      </c>
      <c r="AI23" s="219">
        <f t="shared" si="11"/>
        <v>-4.425586479254507</v>
      </c>
      <c r="AJ23" s="219">
        <f t="shared" si="11"/>
        <v>0.2770324984273833</v>
      </c>
      <c r="AK23" s="244">
        <f t="shared" si="11"/>
        <v>3.0886025093866727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7">
        <v>18</v>
      </c>
      <c r="B24" s="248" t="s">
        <v>38</v>
      </c>
      <c r="C24" s="221">
        <v>1442370</v>
      </c>
      <c r="D24" s="220">
        <v>9471383</v>
      </c>
      <c r="E24" s="221">
        <v>22491648</v>
      </c>
      <c r="F24" s="220">
        <v>31963031</v>
      </c>
      <c r="G24" s="233">
        <v>33405401</v>
      </c>
      <c r="H24" s="232">
        <f>'Anne-8'!O26</f>
        <v>1370149</v>
      </c>
      <c r="I24" s="220">
        <f>'Anne-7'!N26</f>
        <v>7078795</v>
      </c>
      <c r="J24" s="220">
        <f>'Anne-6'!Z26</f>
        <v>21920544</v>
      </c>
      <c r="K24" s="220">
        <f t="shared" si="0"/>
        <v>28999339</v>
      </c>
      <c r="L24" s="233">
        <f t="shared" si="1"/>
        <v>30369488</v>
      </c>
      <c r="M24" s="232">
        <v>1089917</v>
      </c>
      <c r="N24" s="220">
        <v>57261</v>
      </c>
      <c r="O24" s="222">
        <v>4630076</v>
      </c>
      <c r="P24" s="220">
        <v>4687337</v>
      </c>
      <c r="Q24" s="233">
        <v>5777254</v>
      </c>
      <c r="R24" s="232">
        <f>'Anne-8'!D26</f>
        <v>1037448</v>
      </c>
      <c r="S24" s="220">
        <f>'Anne-7'!F26</f>
        <v>47218</v>
      </c>
      <c r="T24" s="220">
        <f>'Anne-6'!D26</f>
        <v>4342728</v>
      </c>
      <c r="U24" s="220">
        <f t="shared" si="2"/>
        <v>4389946</v>
      </c>
      <c r="V24" s="233">
        <f t="shared" si="3"/>
        <v>5427394</v>
      </c>
      <c r="W24" s="232">
        <f t="shared" si="4"/>
        <v>-72221</v>
      </c>
      <c r="X24" s="220">
        <f t="shared" si="4"/>
        <v>-2392588</v>
      </c>
      <c r="Y24" s="220">
        <f t="shared" si="4"/>
        <v>-571104</v>
      </c>
      <c r="Z24" s="220">
        <f t="shared" si="5"/>
        <v>-2963692</v>
      </c>
      <c r="AA24" s="233">
        <f t="shared" si="6"/>
        <v>-3035913</v>
      </c>
      <c r="AB24" s="232">
        <f t="shared" si="7"/>
        <v>-52469</v>
      </c>
      <c r="AC24" s="220">
        <f t="shared" si="7"/>
        <v>-10043</v>
      </c>
      <c r="AD24" s="220">
        <f t="shared" si="7"/>
        <v>-287348</v>
      </c>
      <c r="AE24" s="220">
        <f t="shared" si="8"/>
        <v>-297391</v>
      </c>
      <c r="AF24" s="233">
        <f t="shared" si="9"/>
        <v>-349860</v>
      </c>
      <c r="AG24" s="240">
        <f t="shared" si="10"/>
        <v>-72.65061408731532</v>
      </c>
      <c r="AH24" s="219">
        <f t="shared" si="11"/>
        <v>0.4197546756900895</v>
      </c>
      <c r="AI24" s="219">
        <f t="shared" si="11"/>
        <v>50.31447862385835</v>
      </c>
      <c r="AJ24" s="219">
        <f t="shared" si="11"/>
        <v>10.034477266868487</v>
      </c>
      <c r="AK24" s="244">
        <f t="shared" si="11"/>
        <v>11.524045649529482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7">
        <v>19</v>
      </c>
      <c r="B25" s="248" t="s">
        <v>39</v>
      </c>
      <c r="C25" s="221">
        <v>1164307</v>
      </c>
      <c r="D25" s="220">
        <v>14060872</v>
      </c>
      <c r="E25" s="221">
        <v>35116323</v>
      </c>
      <c r="F25" s="220">
        <v>49177195</v>
      </c>
      <c r="G25" s="233">
        <v>50341502</v>
      </c>
      <c r="H25" s="232">
        <f>'Anne-8'!O27</f>
        <v>1084336</v>
      </c>
      <c r="I25" s="220">
        <f>'Anne-7'!N27</f>
        <v>10841735</v>
      </c>
      <c r="J25" s="220">
        <f>'Anne-6'!Z27</f>
        <v>35730594</v>
      </c>
      <c r="K25" s="220">
        <f t="shared" si="0"/>
        <v>46572329</v>
      </c>
      <c r="L25" s="233">
        <f t="shared" si="1"/>
        <v>47656665</v>
      </c>
      <c r="M25" s="232">
        <v>1046625</v>
      </c>
      <c r="N25" s="220">
        <v>207161</v>
      </c>
      <c r="O25" s="222">
        <v>5444689</v>
      </c>
      <c r="P25" s="220">
        <v>5651850</v>
      </c>
      <c r="Q25" s="233">
        <v>6698475</v>
      </c>
      <c r="R25" s="232">
        <f>'Anne-8'!D27</f>
        <v>963456</v>
      </c>
      <c r="S25" s="220">
        <f>'Anne-7'!F27</f>
        <v>182702</v>
      </c>
      <c r="T25" s="220">
        <f>'Anne-6'!D27</f>
        <v>5747383</v>
      </c>
      <c r="U25" s="220">
        <f t="shared" si="2"/>
        <v>5930085</v>
      </c>
      <c r="V25" s="233">
        <f t="shared" si="3"/>
        <v>6893541</v>
      </c>
      <c r="W25" s="232">
        <f t="shared" si="4"/>
        <v>-79971</v>
      </c>
      <c r="X25" s="220">
        <f t="shared" si="4"/>
        <v>-3219137</v>
      </c>
      <c r="Y25" s="220">
        <f t="shared" si="4"/>
        <v>614271</v>
      </c>
      <c r="Z25" s="220">
        <f t="shared" si="5"/>
        <v>-2604866</v>
      </c>
      <c r="AA25" s="233">
        <f t="shared" si="6"/>
        <v>-2684837</v>
      </c>
      <c r="AB25" s="232">
        <f t="shared" si="7"/>
        <v>-83169</v>
      </c>
      <c r="AC25" s="220">
        <f t="shared" si="7"/>
        <v>-24459</v>
      </c>
      <c r="AD25" s="220">
        <f t="shared" si="7"/>
        <v>302694</v>
      </c>
      <c r="AE25" s="220">
        <f t="shared" si="8"/>
        <v>278235</v>
      </c>
      <c r="AF25" s="233">
        <f t="shared" si="9"/>
        <v>195066</v>
      </c>
      <c r="AG25" s="240">
        <f t="shared" si="10"/>
        <v>-103.99894961923697</v>
      </c>
      <c r="AH25" s="219">
        <f t="shared" si="11"/>
        <v>0.7597999091060741</v>
      </c>
      <c r="AI25" s="219">
        <f t="shared" si="11"/>
        <v>49.27694779665652</v>
      </c>
      <c r="AJ25" s="219">
        <f t="shared" si="11"/>
        <v>-10.6813555860455</v>
      </c>
      <c r="AK25" s="244">
        <f t="shared" si="11"/>
        <v>-7.265469002401264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7">
        <v>20</v>
      </c>
      <c r="B26" s="248" t="s">
        <v>40</v>
      </c>
      <c r="C26" s="221">
        <v>1859512</v>
      </c>
      <c r="D26" s="220">
        <v>13039955</v>
      </c>
      <c r="E26" s="221">
        <v>51452554</v>
      </c>
      <c r="F26" s="220">
        <v>64492509</v>
      </c>
      <c r="G26" s="233">
        <v>66352021</v>
      </c>
      <c r="H26" s="232">
        <f>'Anne-8'!O28</f>
        <v>1803486</v>
      </c>
      <c r="I26" s="220">
        <f>'Anne-7'!N28</f>
        <v>11349805</v>
      </c>
      <c r="J26" s="220">
        <f>'Anne-6'!Z28</f>
        <v>48651012</v>
      </c>
      <c r="K26" s="220">
        <f t="shared" si="0"/>
        <v>60000817</v>
      </c>
      <c r="L26" s="233">
        <f t="shared" si="1"/>
        <v>61804303</v>
      </c>
      <c r="M26" s="232">
        <v>1665407</v>
      </c>
      <c r="N26" s="220">
        <v>417327</v>
      </c>
      <c r="O26" s="222">
        <v>7624774</v>
      </c>
      <c r="P26" s="220">
        <v>8042101</v>
      </c>
      <c r="Q26" s="233">
        <v>9707508</v>
      </c>
      <c r="R26" s="232">
        <f>'Anne-8'!D28</f>
        <v>1607624</v>
      </c>
      <c r="S26" s="220">
        <f>'Anne-7'!F28</f>
        <v>105069</v>
      </c>
      <c r="T26" s="220">
        <f>'Anne-6'!D28</f>
        <v>7744546</v>
      </c>
      <c r="U26" s="220">
        <f t="shared" si="2"/>
        <v>7849615</v>
      </c>
      <c r="V26" s="233">
        <f t="shared" si="3"/>
        <v>9457239</v>
      </c>
      <c r="W26" s="232">
        <f t="shared" si="4"/>
        <v>-56026</v>
      </c>
      <c r="X26" s="220">
        <f t="shared" si="4"/>
        <v>-1690150</v>
      </c>
      <c r="Y26" s="220">
        <f t="shared" si="4"/>
        <v>-2801542</v>
      </c>
      <c r="Z26" s="220">
        <f t="shared" si="5"/>
        <v>-4491692</v>
      </c>
      <c r="AA26" s="233">
        <f t="shared" si="6"/>
        <v>-4547718</v>
      </c>
      <c r="AB26" s="232">
        <f t="shared" si="7"/>
        <v>-57783</v>
      </c>
      <c r="AC26" s="220">
        <f t="shared" si="7"/>
        <v>-312258</v>
      </c>
      <c r="AD26" s="220">
        <f t="shared" si="7"/>
        <v>119772</v>
      </c>
      <c r="AE26" s="220">
        <f t="shared" si="8"/>
        <v>-192486</v>
      </c>
      <c r="AF26" s="233">
        <f t="shared" si="9"/>
        <v>-250269</v>
      </c>
      <c r="AG26" s="240">
        <f t="shared" si="10"/>
        <v>-103.13604397958092</v>
      </c>
      <c r="AH26" s="219">
        <f t="shared" si="11"/>
        <v>18.475164926189983</v>
      </c>
      <c r="AI26" s="219">
        <f t="shared" si="11"/>
        <v>-4.275217005491975</v>
      </c>
      <c r="AJ26" s="219">
        <f t="shared" si="11"/>
        <v>4.285378427550242</v>
      </c>
      <c r="AK26" s="244">
        <f t="shared" si="11"/>
        <v>5.5031776376635495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7">
        <v>21</v>
      </c>
      <c r="B27" s="248" t="s">
        <v>41</v>
      </c>
      <c r="C27" s="221">
        <v>0</v>
      </c>
      <c r="D27" s="220">
        <v>0</v>
      </c>
      <c r="E27" s="221">
        <v>0</v>
      </c>
      <c r="F27" s="220">
        <v>0</v>
      </c>
      <c r="G27" s="233">
        <v>0</v>
      </c>
      <c r="H27" s="232">
        <f>'Anne-8'!O29</f>
        <v>0</v>
      </c>
      <c r="I27" s="220">
        <f>'Anne-7'!N29</f>
        <v>0</v>
      </c>
      <c r="J27" s="220">
        <f>'Anne-6'!Z29</f>
        <v>0</v>
      </c>
      <c r="K27" s="220">
        <f t="shared" si="0"/>
        <v>0</v>
      </c>
      <c r="L27" s="233">
        <f t="shared" si="1"/>
        <v>0</v>
      </c>
      <c r="M27" s="232">
        <v>0</v>
      </c>
      <c r="N27" s="220">
        <v>0</v>
      </c>
      <c r="O27" s="222">
        <v>0</v>
      </c>
      <c r="P27" s="220">
        <v>0</v>
      </c>
      <c r="Q27" s="233">
        <v>0</v>
      </c>
      <c r="R27" s="232">
        <f>'Anne-8'!D29</f>
        <v>0</v>
      </c>
      <c r="S27" s="220">
        <f>'Anne-7'!F29</f>
        <v>0</v>
      </c>
      <c r="T27" s="220">
        <f>'Anne-6'!D29</f>
        <v>0</v>
      </c>
      <c r="U27" s="220">
        <f t="shared" si="2"/>
        <v>0</v>
      </c>
      <c r="V27" s="233">
        <f t="shared" si="3"/>
        <v>0</v>
      </c>
      <c r="W27" s="232">
        <f t="shared" si="4"/>
        <v>0</v>
      </c>
      <c r="X27" s="220">
        <f t="shared" si="4"/>
        <v>0</v>
      </c>
      <c r="Y27" s="220">
        <f t="shared" si="4"/>
        <v>0</v>
      </c>
      <c r="Z27" s="220">
        <f t="shared" si="5"/>
        <v>0</v>
      </c>
      <c r="AA27" s="233">
        <f t="shared" si="6"/>
        <v>0</v>
      </c>
      <c r="AB27" s="232">
        <f t="shared" si="7"/>
        <v>0</v>
      </c>
      <c r="AC27" s="220">
        <f t="shared" si="7"/>
        <v>0</v>
      </c>
      <c r="AD27" s="220">
        <f t="shared" si="7"/>
        <v>0</v>
      </c>
      <c r="AE27" s="220">
        <f t="shared" si="8"/>
        <v>0</v>
      </c>
      <c r="AF27" s="233">
        <f t="shared" si="9"/>
        <v>0</v>
      </c>
      <c r="AG27" s="240"/>
      <c r="AH27" s="219"/>
      <c r="AI27" s="219"/>
      <c r="AJ27" s="219"/>
      <c r="AK27" s="244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7">
        <v>22</v>
      </c>
      <c r="B28" s="248" t="s">
        <v>42</v>
      </c>
      <c r="C28" s="221">
        <v>1272212</v>
      </c>
      <c r="D28" s="220">
        <v>18441295</v>
      </c>
      <c r="E28" s="221">
        <v>56658020</v>
      </c>
      <c r="F28" s="220">
        <v>75099315</v>
      </c>
      <c r="G28" s="233">
        <v>76371527</v>
      </c>
      <c r="H28" s="232">
        <f>'Anne-8'!O30</f>
        <v>1059007</v>
      </c>
      <c r="I28" s="220">
        <f>'Anne-7'!N30</f>
        <v>14796259</v>
      </c>
      <c r="J28" s="220">
        <f>'Anne-6'!Z30</f>
        <v>57183151</v>
      </c>
      <c r="K28" s="220">
        <f t="shared" si="0"/>
        <v>71979410</v>
      </c>
      <c r="L28" s="233">
        <f t="shared" si="1"/>
        <v>73038417</v>
      </c>
      <c r="M28" s="232">
        <v>1167606</v>
      </c>
      <c r="N28" s="220">
        <v>449328</v>
      </c>
      <c r="O28" s="222">
        <v>9667435</v>
      </c>
      <c r="P28" s="220">
        <v>10116763</v>
      </c>
      <c r="Q28" s="233">
        <v>11284369</v>
      </c>
      <c r="R28" s="232">
        <f>'Anne-8'!D30</f>
        <v>954373</v>
      </c>
      <c r="S28" s="220">
        <f>'Anne-7'!F30</f>
        <v>424679</v>
      </c>
      <c r="T28" s="220">
        <f>'Anne-6'!D30</f>
        <v>9870834</v>
      </c>
      <c r="U28" s="220">
        <f t="shared" si="2"/>
        <v>10295513</v>
      </c>
      <c r="V28" s="233">
        <f t="shared" si="3"/>
        <v>11249886</v>
      </c>
      <c r="W28" s="232">
        <f t="shared" si="4"/>
        <v>-213205</v>
      </c>
      <c r="X28" s="220">
        <f t="shared" si="4"/>
        <v>-3645036</v>
      </c>
      <c r="Y28" s="220">
        <f t="shared" si="4"/>
        <v>525131</v>
      </c>
      <c r="Z28" s="220">
        <f t="shared" si="5"/>
        <v>-3119905</v>
      </c>
      <c r="AA28" s="233">
        <f t="shared" si="6"/>
        <v>-3333110</v>
      </c>
      <c r="AB28" s="232">
        <f t="shared" si="7"/>
        <v>-213233</v>
      </c>
      <c r="AC28" s="220">
        <f t="shared" si="7"/>
        <v>-24649</v>
      </c>
      <c r="AD28" s="220">
        <f t="shared" si="7"/>
        <v>203399</v>
      </c>
      <c r="AE28" s="220">
        <f t="shared" si="8"/>
        <v>178750</v>
      </c>
      <c r="AF28" s="233">
        <f t="shared" si="9"/>
        <v>-34483</v>
      </c>
      <c r="AG28" s="240">
        <f t="shared" si="10"/>
        <v>-100.0131329002603</v>
      </c>
      <c r="AH28" s="219">
        <f t="shared" si="11"/>
        <v>0.6762347477500907</v>
      </c>
      <c r="AI28" s="219">
        <f t="shared" si="11"/>
        <v>38.733001860488145</v>
      </c>
      <c r="AJ28" s="219">
        <f t="shared" si="11"/>
        <v>-5.729341117758394</v>
      </c>
      <c r="AK28" s="244">
        <f t="shared" si="11"/>
        <v>1.0345593154741368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7">
        <v>23</v>
      </c>
      <c r="B29" s="248" t="s">
        <v>43</v>
      </c>
      <c r="C29" s="221">
        <v>796836</v>
      </c>
      <c r="D29" s="220">
        <v>15259445</v>
      </c>
      <c r="E29" s="221">
        <v>38404703</v>
      </c>
      <c r="F29" s="220">
        <v>53664148</v>
      </c>
      <c r="G29" s="233">
        <v>54460984</v>
      </c>
      <c r="H29" s="232">
        <f>'Anne-8'!O31</f>
        <v>773630</v>
      </c>
      <c r="I29" s="220">
        <f>'Anne-7'!N31</f>
        <v>11433762</v>
      </c>
      <c r="J29" s="220">
        <f>'Anne-6'!Z31</f>
        <v>36904322</v>
      </c>
      <c r="K29" s="220">
        <f t="shared" si="0"/>
        <v>48338084</v>
      </c>
      <c r="L29" s="233">
        <f t="shared" si="1"/>
        <v>49111714</v>
      </c>
      <c r="M29" s="232">
        <v>759356</v>
      </c>
      <c r="N29" s="220">
        <v>155316</v>
      </c>
      <c r="O29" s="222">
        <v>4644821</v>
      </c>
      <c r="P29" s="220">
        <v>4800137</v>
      </c>
      <c r="Q29" s="233">
        <v>5559493</v>
      </c>
      <c r="R29" s="232">
        <f>'Anne-8'!D31</f>
        <v>735439</v>
      </c>
      <c r="S29" s="220">
        <f>'Anne-7'!F31</f>
        <v>142307</v>
      </c>
      <c r="T29" s="220">
        <f>'Anne-6'!D31</f>
        <v>4786158</v>
      </c>
      <c r="U29" s="220">
        <f t="shared" si="2"/>
        <v>4928465</v>
      </c>
      <c r="V29" s="233">
        <f t="shared" si="3"/>
        <v>5663904</v>
      </c>
      <c r="W29" s="232">
        <f t="shared" si="4"/>
        <v>-23206</v>
      </c>
      <c r="X29" s="220">
        <f t="shared" si="4"/>
        <v>-3825683</v>
      </c>
      <c r="Y29" s="220">
        <f t="shared" si="4"/>
        <v>-1500381</v>
      </c>
      <c r="Z29" s="220">
        <f t="shared" si="5"/>
        <v>-5326064</v>
      </c>
      <c r="AA29" s="233">
        <f t="shared" si="6"/>
        <v>-5349270</v>
      </c>
      <c r="AB29" s="232">
        <f t="shared" si="7"/>
        <v>-23917</v>
      </c>
      <c r="AC29" s="220">
        <f t="shared" si="7"/>
        <v>-13009</v>
      </c>
      <c r="AD29" s="220">
        <f t="shared" si="7"/>
        <v>141337</v>
      </c>
      <c r="AE29" s="220">
        <f t="shared" si="8"/>
        <v>128328</v>
      </c>
      <c r="AF29" s="233">
        <f t="shared" si="9"/>
        <v>104411</v>
      </c>
      <c r="AG29" s="240">
        <f>-(AB29)/W29*100</f>
        <v>-103.06386279410498</v>
      </c>
      <c r="AH29" s="219">
        <f t="shared" si="11"/>
        <v>0.34004385622122896</v>
      </c>
      <c r="AI29" s="219">
        <f t="shared" si="11"/>
        <v>-9.420073967878825</v>
      </c>
      <c r="AJ29" s="219">
        <f t="shared" si="11"/>
        <v>-2.4094340586219016</v>
      </c>
      <c r="AK29" s="428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7">
        <v>24</v>
      </c>
      <c r="B30" s="248" t="s">
        <v>44</v>
      </c>
      <c r="C30" s="221">
        <v>680679</v>
      </c>
      <c r="D30" s="220">
        <v>6859723</v>
      </c>
      <c r="E30" s="221">
        <v>39413120</v>
      </c>
      <c r="F30" s="220">
        <v>46272843</v>
      </c>
      <c r="G30" s="233">
        <v>46953522</v>
      </c>
      <c r="H30" s="232">
        <f>'Anne-8'!O32</f>
        <v>593443</v>
      </c>
      <c r="I30" s="220">
        <f>'Anne-7'!N32</f>
        <v>4824207</v>
      </c>
      <c r="J30" s="220">
        <f>'Anne-6'!Z32</f>
        <v>38252691</v>
      </c>
      <c r="K30" s="220">
        <f t="shared" si="0"/>
        <v>43076898</v>
      </c>
      <c r="L30" s="233">
        <f t="shared" si="1"/>
        <v>43670341</v>
      </c>
      <c r="M30" s="232">
        <v>672411</v>
      </c>
      <c r="N30" s="220">
        <v>83559</v>
      </c>
      <c r="O30" s="222">
        <v>3514875</v>
      </c>
      <c r="P30" s="220">
        <v>3598434</v>
      </c>
      <c r="Q30" s="233">
        <v>4270845</v>
      </c>
      <c r="R30" s="232">
        <f>'Anne-8'!D32</f>
        <v>585158</v>
      </c>
      <c r="S30" s="220">
        <f>'Anne-7'!F32</f>
        <v>76561</v>
      </c>
      <c r="T30" s="220">
        <f>'Anne-6'!D32</f>
        <v>3545534</v>
      </c>
      <c r="U30" s="220">
        <f t="shared" si="2"/>
        <v>3622095</v>
      </c>
      <c r="V30" s="233">
        <f t="shared" si="3"/>
        <v>4207253</v>
      </c>
      <c r="W30" s="232">
        <f t="shared" si="4"/>
        <v>-87236</v>
      </c>
      <c r="X30" s="220">
        <f t="shared" si="4"/>
        <v>-2035516</v>
      </c>
      <c r="Y30" s="220">
        <f t="shared" si="4"/>
        <v>-1160429</v>
      </c>
      <c r="Z30" s="220">
        <f t="shared" si="5"/>
        <v>-3195945</v>
      </c>
      <c r="AA30" s="233">
        <f t="shared" si="6"/>
        <v>-3283181</v>
      </c>
      <c r="AB30" s="232">
        <f t="shared" si="7"/>
        <v>-87253</v>
      </c>
      <c r="AC30" s="220">
        <f t="shared" si="7"/>
        <v>-6998</v>
      </c>
      <c r="AD30" s="220">
        <f t="shared" si="7"/>
        <v>30659</v>
      </c>
      <c r="AE30" s="220">
        <f t="shared" si="8"/>
        <v>23661</v>
      </c>
      <c r="AF30" s="233">
        <f t="shared" si="9"/>
        <v>-63592</v>
      </c>
      <c r="AG30" s="240">
        <f t="shared" si="10"/>
        <v>-100.01948736760053</v>
      </c>
      <c r="AH30" s="219">
        <f t="shared" si="11"/>
        <v>0.3437948903373887</v>
      </c>
      <c r="AI30" s="219">
        <f t="shared" si="11"/>
        <v>-2.6420401420509143</v>
      </c>
      <c r="AJ30" s="219">
        <f t="shared" si="11"/>
        <v>-0.7403444051759338</v>
      </c>
      <c r="AK30" s="428" t="s">
        <v>130</v>
      </c>
    </row>
    <row r="31" spans="1:37" ht="18" customHeight="1">
      <c r="A31" s="247">
        <v>25</v>
      </c>
      <c r="B31" s="248" t="s">
        <v>45</v>
      </c>
      <c r="C31" s="221">
        <v>1182171</v>
      </c>
      <c r="D31" s="220">
        <v>6123555</v>
      </c>
      <c r="E31" s="221">
        <v>18866570</v>
      </c>
      <c r="F31" s="220">
        <v>24990125</v>
      </c>
      <c r="G31" s="233">
        <v>26172296</v>
      </c>
      <c r="H31" s="232">
        <f>'Anne-8'!O33</f>
        <v>1151639</v>
      </c>
      <c r="I31" s="220">
        <f>'Anne-7'!N33</f>
        <v>4307896</v>
      </c>
      <c r="J31" s="220">
        <f>'Anne-6'!Z33</f>
        <v>18302345</v>
      </c>
      <c r="K31" s="220">
        <f t="shared" si="0"/>
        <v>22610241</v>
      </c>
      <c r="L31" s="233">
        <f t="shared" si="1"/>
        <v>23761880</v>
      </c>
      <c r="M31" s="232">
        <v>975123</v>
      </c>
      <c r="N31" s="220">
        <v>36660</v>
      </c>
      <c r="O31" s="222">
        <v>2389618</v>
      </c>
      <c r="P31" s="220">
        <v>2426278</v>
      </c>
      <c r="Q31" s="233">
        <v>3401401</v>
      </c>
      <c r="R31" s="232">
        <f>'Anne-8'!D33</f>
        <v>938584</v>
      </c>
      <c r="S31" s="220">
        <f>'Anne-7'!F33</f>
        <v>28601</v>
      </c>
      <c r="T31" s="220">
        <f>'Anne-6'!D33</f>
        <v>2286702</v>
      </c>
      <c r="U31" s="220">
        <f t="shared" si="2"/>
        <v>2315303</v>
      </c>
      <c r="V31" s="233">
        <f t="shared" si="3"/>
        <v>3253887</v>
      </c>
      <c r="W31" s="232">
        <f t="shared" si="4"/>
        <v>-30532</v>
      </c>
      <c r="X31" s="220">
        <f t="shared" si="4"/>
        <v>-1815659</v>
      </c>
      <c r="Y31" s="220">
        <f t="shared" si="4"/>
        <v>-564225</v>
      </c>
      <c r="Z31" s="220">
        <f t="shared" si="5"/>
        <v>-2379884</v>
      </c>
      <c r="AA31" s="233">
        <f t="shared" si="6"/>
        <v>-2410416</v>
      </c>
      <c r="AB31" s="232">
        <f t="shared" si="7"/>
        <v>-36539</v>
      </c>
      <c r="AC31" s="220">
        <f t="shared" si="7"/>
        <v>-8059</v>
      </c>
      <c r="AD31" s="220">
        <f t="shared" si="7"/>
        <v>-102916</v>
      </c>
      <c r="AE31" s="220">
        <f t="shared" si="8"/>
        <v>-110975</v>
      </c>
      <c r="AF31" s="233">
        <f t="shared" si="9"/>
        <v>-147514</v>
      </c>
      <c r="AG31" s="240">
        <f t="shared" si="10"/>
        <v>-119.67443993187476</v>
      </c>
      <c r="AH31" s="219">
        <f t="shared" si="11"/>
        <v>0.4438608791628824</v>
      </c>
      <c r="AI31" s="219">
        <f t="shared" si="11"/>
        <v>18.24024103859276</v>
      </c>
      <c r="AJ31" s="219">
        <f t="shared" si="11"/>
        <v>4.663042400385901</v>
      </c>
      <c r="AK31" s="428" t="s">
        <v>130</v>
      </c>
    </row>
    <row r="32" spans="1:43" ht="18" customHeight="1">
      <c r="A32" s="247">
        <v>26</v>
      </c>
      <c r="B32" s="248" t="s">
        <v>46</v>
      </c>
      <c r="C32" s="221">
        <v>1331291</v>
      </c>
      <c r="D32" s="220">
        <v>2446412</v>
      </c>
      <c r="E32" s="221">
        <v>10757876</v>
      </c>
      <c r="F32" s="220">
        <v>13204288</v>
      </c>
      <c r="G32" s="233">
        <v>14535579</v>
      </c>
      <c r="H32" s="232">
        <f>'Anne-8'!O34</f>
        <v>1331378</v>
      </c>
      <c r="I32" s="220">
        <f>'Anne-7'!N34</f>
        <v>2211677</v>
      </c>
      <c r="J32" s="220">
        <f>'Anne-6'!Z34</f>
        <v>11071477</v>
      </c>
      <c r="K32" s="220">
        <f t="shared" si="0"/>
        <v>13283154</v>
      </c>
      <c r="L32" s="233">
        <f t="shared" si="1"/>
        <v>14614532</v>
      </c>
      <c r="M32" s="232">
        <v>827945</v>
      </c>
      <c r="N32" s="220">
        <v>21981</v>
      </c>
      <c r="O32" s="222">
        <v>1658232</v>
      </c>
      <c r="P32" s="220">
        <v>1680213</v>
      </c>
      <c r="Q32" s="233">
        <v>2508158</v>
      </c>
      <c r="R32" s="232">
        <f>'Anne-8'!D34</f>
        <v>819056</v>
      </c>
      <c r="S32" s="220">
        <f>'Anne-7'!F34</f>
        <v>16223</v>
      </c>
      <c r="T32" s="220">
        <f>'Anne-6'!D34</f>
        <v>1574045</v>
      </c>
      <c r="U32" s="220">
        <f t="shared" si="2"/>
        <v>1590268</v>
      </c>
      <c r="V32" s="233">
        <f t="shared" si="3"/>
        <v>2409324</v>
      </c>
      <c r="W32" s="232">
        <f t="shared" si="4"/>
        <v>87</v>
      </c>
      <c r="X32" s="220">
        <f t="shared" si="4"/>
        <v>-234735</v>
      </c>
      <c r="Y32" s="220">
        <f t="shared" si="4"/>
        <v>313601</v>
      </c>
      <c r="Z32" s="220">
        <f t="shared" si="5"/>
        <v>78866</v>
      </c>
      <c r="AA32" s="233">
        <f t="shared" si="6"/>
        <v>78953</v>
      </c>
      <c r="AB32" s="232">
        <f t="shared" si="7"/>
        <v>-8889</v>
      </c>
      <c r="AC32" s="220">
        <f t="shared" si="7"/>
        <v>-5758</v>
      </c>
      <c r="AD32" s="220">
        <f t="shared" si="7"/>
        <v>-84187</v>
      </c>
      <c r="AE32" s="220">
        <f t="shared" si="8"/>
        <v>-89945</v>
      </c>
      <c r="AF32" s="233">
        <f t="shared" si="9"/>
        <v>-98834</v>
      </c>
      <c r="AG32" s="428" t="s">
        <v>130</v>
      </c>
      <c r="AH32" s="219">
        <f t="shared" si="11"/>
        <v>2.452978891089953</v>
      </c>
      <c r="AI32" s="219">
        <f t="shared" si="11"/>
        <v>-26.845258784251325</v>
      </c>
      <c r="AJ32" s="428" t="s">
        <v>130</v>
      </c>
      <c r="AK32" s="428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1"/>
      <c r="B33" s="239" t="s">
        <v>47</v>
      </c>
      <c r="C33" s="234">
        <f aca="true" t="shared" si="12" ref="C33:AA33">SUM(C8:C32)</f>
        <v>26244002</v>
      </c>
      <c r="D33" s="234">
        <f t="shared" si="12"/>
        <v>195631382</v>
      </c>
      <c r="E33" s="234">
        <f t="shared" si="12"/>
        <v>645017937</v>
      </c>
      <c r="F33" s="234">
        <f t="shared" si="12"/>
        <v>840649319</v>
      </c>
      <c r="G33" s="234">
        <f t="shared" si="12"/>
        <v>866893321</v>
      </c>
      <c r="H33" s="234">
        <f t="shared" si="12"/>
        <v>24848468</v>
      </c>
      <c r="I33" s="223">
        <f t="shared" si="12"/>
        <v>152476867</v>
      </c>
      <c r="J33" s="223">
        <f t="shared" si="12"/>
        <v>640688984</v>
      </c>
      <c r="K33" s="223">
        <f t="shared" si="12"/>
        <v>793165851</v>
      </c>
      <c r="L33" s="235">
        <f t="shared" si="12"/>
        <v>818014319</v>
      </c>
      <c r="M33" s="234">
        <f t="shared" si="12"/>
        <v>22467732</v>
      </c>
      <c r="N33" s="223">
        <f t="shared" si="12"/>
        <v>4003914</v>
      </c>
      <c r="O33" s="223">
        <f t="shared" si="12"/>
        <v>94509074</v>
      </c>
      <c r="P33" s="223">
        <f t="shared" si="12"/>
        <v>98512988</v>
      </c>
      <c r="Q33" s="235">
        <f t="shared" si="12"/>
        <v>120980720</v>
      </c>
      <c r="R33" s="234">
        <f t="shared" si="12"/>
        <v>21041104</v>
      </c>
      <c r="S33" s="223">
        <f t="shared" si="12"/>
        <v>2829570</v>
      </c>
      <c r="T33" s="223">
        <f t="shared" si="12"/>
        <v>97092777</v>
      </c>
      <c r="U33" s="223">
        <f t="shared" si="12"/>
        <v>99922347</v>
      </c>
      <c r="V33" s="235">
        <f t="shared" si="12"/>
        <v>120963451</v>
      </c>
      <c r="W33" s="234">
        <f t="shared" si="12"/>
        <v>-1395534</v>
      </c>
      <c r="X33" s="223">
        <f t="shared" si="12"/>
        <v>-43154515</v>
      </c>
      <c r="Y33" s="223">
        <f t="shared" si="12"/>
        <v>-4328953</v>
      </c>
      <c r="Z33" s="223">
        <f t="shared" si="12"/>
        <v>-47483468</v>
      </c>
      <c r="AA33" s="235">
        <f t="shared" si="12"/>
        <v>-48879002</v>
      </c>
      <c r="AB33" s="234">
        <f>SUM(AB8:AB32)</f>
        <v>-1426628</v>
      </c>
      <c r="AC33" s="223">
        <f>SUM(AC8:AC32)</f>
        <v>-1174344</v>
      </c>
      <c r="AD33" s="223">
        <f>SUM(AD8:AD32)</f>
        <v>2583703</v>
      </c>
      <c r="AE33" s="223">
        <f>SUM(AE8:AE32)</f>
        <v>1409359</v>
      </c>
      <c r="AF33" s="235">
        <f>SUM(AF8:AF32)</f>
        <v>-17269</v>
      </c>
      <c r="AG33" s="240">
        <f t="shared" si="10"/>
        <v>-102.2281076634464</v>
      </c>
      <c r="AH33" s="224">
        <f t="shared" si="11"/>
        <v>2.7212540796716174</v>
      </c>
      <c r="AI33" s="224">
        <f t="shared" si="11"/>
        <v>-59.6842469761164</v>
      </c>
      <c r="AJ33" s="224">
        <f t="shared" si="11"/>
        <v>-2.968104604322498</v>
      </c>
      <c r="AK33" s="428" t="s">
        <v>130</v>
      </c>
    </row>
    <row r="34" spans="1:37" ht="18" customHeight="1">
      <c r="A34" s="229">
        <v>27</v>
      </c>
      <c r="B34" s="239" t="s">
        <v>48</v>
      </c>
      <c r="C34" s="221">
        <v>2901405</v>
      </c>
      <c r="D34" s="220">
        <v>14654252</v>
      </c>
      <c r="E34" s="220">
        <v>28178930</v>
      </c>
      <c r="F34" s="220">
        <v>42833182</v>
      </c>
      <c r="G34" s="233">
        <v>45734587</v>
      </c>
      <c r="H34" s="232">
        <f>'Anne-8'!O36</f>
        <v>2947062</v>
      </c>
      <c r="I34" s="220">
        <f>'Anne-7'!N36</f>
        <v>12228402</v>
      </c>
      <c r="J34" s="220">
        <f>'Anne-6'!Z36</f>
        <v>27585112</v>
      </c>
      <c r="K34" s="220">
        <f t="shared" si="0"/>
        <v>39813514</v>
      </c>
      <c r="L34" s="233">
        <f t="shared" si="1"/>
        <v>42760576</v>
      </c>
      <c r="M34" s="240"/>
      <c r="N34" s="219"/>
      <c r="O34" s="225"/>
      <c r="P34" s="220">
        <f>SUM(N34:O34)</f>
        <v>0</v>
      </c>
      <c r="Q34" s="233">
        <f>P34+M34</f>
        <v>0</v>
      </c>
      <c r="R34" s="232">
        <f>'[1]LL31.03.10'!D36</f>
        <v>0</v>
      </c>
      <c r="S34" s="220">
        <f>'[1]WLL31.03.10'!D36+'[1]WLL31.03.10'!L36</f>
        <v>0</v>
      </c>
      <c r="T34" s="220">
        <f>'[1]M31.03.10'!D36</f>
        <v>0</v>
      </c>
      <c r="U34" s="220">
        <f>SUM(S34:T34)</f>
        <v>0</v>
      </c>
      <c r="V34" s="233">
        <f>U34+R34</f>
        <v>0</v>
      </c>
      <c r="W34" s="232">
        <f t="shared" si="4"/>
        <v>45657</v>
      </c>
      <c r="X34" s="220">
        <f>I34-D34</f>
        <v>-2425850</v>
      </c>
      <c r="Y34" s="220">
        <f>J34-E34</f>
        <v>-593818</v>
      </c>
      <c r="Z34" s="220">
        <f>SUM(X34:Y34)</f>
        <v>-3019668</v>
      </c>
      <c r="AA34" s="233">
        <f>Z34+W34</f>
        <v>-2974011</v>
      </c>
      <c r="AB34" s="232">
        <f aca="true" t="shared" si="13" ref="AB34:AD35">R34-M34</f>
        <v>0</v>
      </c>
      <c r="AC34" s="220">
        <f t="shared" si="13"/>
        <v>0</v>
      </c>
      <c r="AD34" s="220">
        <f t="shared" si="13"/>
        <v>0</v>
      </c>
      <c r="AE34" s="220">
        <f>SUM(AC34:AD34)</f>
        <v>0</v>
      </c>
      <c r="AF34" s="233">
        <f>AE34+AB34</f>
        <v>0</v>
      </c>
      <c r="AG34" s="240"/>
      <c r="AH34" s="219"/>
      <c r="AI34" s="219"/>
      <c r="AJ34" s="219"/>
      <c r="AK34" s="244"/>
    </row>
    <row r="35" spans="1:37" ht="18" customHeight="1">
      <c r="A35" s="229">
        <v>28</v>
      </c>
      <c r="B35" s="239" t="s">
        <v>49</v>
      </c>
      <c r="C35" s="221">
        <v>3005733</v>
      </c>
      <c r="D35" s="220">
        <v>14054575</v>
      </c>
      <c r="E35" s="220">
        <v>22559732</v>
      </c>
      <c r="F35" s="220">
        <v>36614307</v>
      </c>
      <c r="G35" s="233">
        <v>39620040</v>
      </c>
      <c r="H35" s="232">
        <f>'Anne-8'!O37</f>
        <v>2988510</v>
      </c>
      <c r="I35" s="220">
        <f>'Anne-7'!N37</f>
        <v>10027624</v>
      </c>
      <c r="J35" s="220">
        <f>'Anne-6'!Z37</f>
        <v>21747730</v>
      </c>
      <c r="K35" s="220">
        <f t="shared" si="0"/>
        <v>31775354</v>
      </c>
      <c r="L35" s="233">
        <f t="shared" si="1"/>
        <v>34763864</v>
      </c>
      <c r="M35" s="240"/>
      <c r="N35" s="219"/>
      <c r="O35" s="225"/>
      <c r="P35" s="220">
        <f>SUM(N35:O35)</f>
        <v>0</v>
      </c>
      <c r="Q35" s="233">
        <f>P35+M35</f>
        <v>0</v>
      </c>
      <c r="R35" s="232">
        <f>'[1]LL31.03.10'!D37</f>
        <v>0</v>
      </c>
      <c r="S35" s="220">
        <f>'[1]WLL31.03.10'!D37+'[1]WLL31.03.10'!L37</f>
        <v>0</v>
      </c>
      <c r="T35" s="220">
        <f>'[1]M31.03.10'!D37</f>
        <v>0</v>
      </c>
      <c r="U35" s="220">
        <f>SUM(S35:T35)</f>
        <v>0</v>
      </c>
      <c r="V35" s="233">
        <f>U35+R35</f>
        <v>0</v>
      </c>
      <c r="W35" s="232">
        <f t="shared" si="4"/>
        <v>-17223</v>
      </c>
      <c r="X35" s="220">
        <f>I35-D35</f>
        <v>-4026951</v>
      </c>
      <c r="Y35" s="220">
        <f>J35-E35</f>
        <v>-812002</v>
      </c>
      <c r="Z35" s="220">
        <f>SUM(X35:Y35)</f>
        <v>-4838953</v>
      </c>
      <c r="AA35" s="233">
        <f>Z35+W35</f>
        <v>-4856176</v>
      </c>
      <c r="AB35" s="232">
        <f t="shared" si="13"/>
        <v>0</v>
      </c>
      <c r="AC35" s="220">
        <f t="shared" si="13"/>
        <v>0</v>
      </c>
      <c r="AD35" s="220">
        <f t="shared" si="13"/>
        <v>0</v>
      </c>
      <c r="AE35" s="220">
        <f>SUM(AC35:AD35)</f>
        <v>0</v>
      </c>
      <c r="AF35" s="233">
        <f>AE35+AB35</f>
        <v>0</v>
      </c>
      <c r="AG35" s="240"/>
      <c r="AH35" s="219"/>
      <c r="AI35" s="219"/>
      <c r="AJ35" s="219"/>
      <c r="AK35" s="244"/>
    </row>
    <row r="36" spans="1:37" ht="18" customHeight="1" thickBot="1">
      <c r="A36" s="249"/>
      <c r="B36" s="250" t="s">
        <v>50</v>
      </c>
      <c r="C36" s="246">
        <f aca="true" t="shared" si="14" ref="C36:AF36">SUM(C33:C35)</f>
        <v>32151140</v>
      </c>
      <c r="D36" s="237">
        <f t="shared" si="14"/>
        <v>224340209</v>
      </c>
      <c r="E36" s="237">
        <f t="shared" si="14"/>
        <v>695756599</v>
      </c>
      <c r="F36" s="237">
        <f t="shared" si="14"/>
        <v>920096808</v>
      </c>
      <c r="G36" s="238">
        <f t="shared" si="14"/>
        <v>952247948</v>
      </c>
      <c r="H36" s="236">
        <f t="shared" si="14"/>
        <v>30784040</v>
      </c>
      <c r="I36" s="237">
        <f t="shared" si="14"/>
        <v>174732893</v>
      </c>
      <c r="J36" s="237">
        <f t="shared" si="14"/>
        <v>690021826</v>
      </c>
      <c r="K36" s="237">
        <f t="shared" si="14"/>
        <v>864754719</v>
      </c>
      <c r="L36" s="238">
        <f t="shared" si="14"/>
        <v>895538759</v>
      </c>
      <c r="M36" s="236">
        <f t="shared" si="14"/>
        <v>22467732</v>
      </c>
      <c r="N36" s="237">
        <f t="shared" si="14"/>
        <v>4003914</v>
      </c>
      <c r="O36" s="237">
        <f t="shared" si="14"/>
        <v>94509074</v>
      </c>
      <c r="P36" s="237">
        <f t="shared" si="14"/>
        <v>98512988</v>
      </c>
      <c r="Q36" s="238">
        <f t="shared" si="14"/>
        <v>120980720</v>
      </c>
      <c r="R36" s="236">
        <f t="shared" si="14"/>
        <v>21041104</v>
      </c>
      <c r="S36" s="237">
        <f t="shared" si="14"/>
        <v>2829570</v>
      </c>
      <c r="T36" s="237">
        <f t="shared" si="14"/>
        <v>97092777</v>
      </c>
      <c r="U36" s="237">
        <f t="shared" si="14"/>
        <v>99922347</v>
      </c>
      <c r="V36" s="238">
        <f t="shared" si="14"/>
        <v>120963451</v>
      </c>
      <c r="W36" s="236">
        <f t="shared" si="14"/>
        <v>-1367100</v>
      </c>
      <c r="X36" s="237">
        <f t="shared" si="14"/>
        <v>-49607316</v>
      </c>
      <c r="Y36" s="237">
        <f t="shared" si="14"/>
        <v>-5734773</v>
      </c>
      <c r="Z36" s="237">
        <f t="shared" si="14"/>
        <v>-55342089</v>
      </c>
      <c r="AA36" s="238">
        <f t="shared" si="14"/>
        <v>-56709189</v>
      </c>
      <c r="AB36" s="236">
        <f t="shared" si="14"/>
        <v>-1426628</v>
      </c>
      <c r="AC36" s="237">
        <f t="shared" si="14"/>
        <v>-1174344</v>
      </c>
      <c r="AD36" s="237">
        <f t="shared" si="14"/>
        <v>2583703</v>
      </c>
      <c r="AE36" s="237">
        <f t="shared" si="14"/>
        <v>1409359</v>
      </c>
      <c r="AF36" s="238">
        <f t="shared" si="14"/>
        <v>-17269</v>
      </c>
      <c r="AG36" s="253">
        <f t="shared" si="10"/>
        <v>-104.35432667690732</v>
      </c>
      <c r="AH36" s="245">
        <f t="shared" si="11"/>
        <v>2.367279858478939</v>
      </c>
      <c r="AI36" s="245">
        <f t="shared" si="11"/>
        <v>-45.053274122620024</v>
      </c>
      <c r="AJ36" s="245">
        <f t="shared" si="11"/>
        <v>-2.5466313712877735</v>
      </c>
      <c r="AK36" s="429" t="s">
        <v>130</v>
      </c>
    </row>
    <row r="39" ht="12.75">
      <c r="L39">
        <v>653927947</v>
      </c>
    </row>
    <row r="40" ht="12.75">
      <c r="L40" s="82">
        <f>L39-L36</f>
        <v>-241610812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view="pageBreakPreview" zoomScaleSheetLayoutView="100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41" sqref="H41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4" customFormat="1" ht="15">
      <c r="U1" s="333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31st January 2013.</v>
      </c>
      <c r="I2" s="2"/>
      <c r="J2" s="2"/>
      <c r="K2" s="2"/>
    </row>
    <row r="3" ht="9" customHeight="1"/>
    <row r="4" spans="2:3" ht="15">
      <c r="B4" s="26" t="s">
        <v>227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30" t="s">
        <v>62</v>
      </c>
      <c r="B6" s="532" t="s">
        <v>63</v>
      </c>
      <c r="C6" s="530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29" t="s">
        <v>69</v>
      </c>
      <c r="U6" s="529" t="s">
        <v>70</v>
      </c>
      <c r="V6" s="529" t="s">
        <v>106</v>
      </c>
      <c r="W6" s="528" t="s">
        <v>121</v>
      </c>
      <c r="X6" s="526" t="s">
        <v>101</v>
      </c>
      <c r="Y6" s="47"/>
      <c r="Z6" s="81" t="s">
        <v>235</v>
      </c>
      <c r="AA6" s="48"/>
    </row>
    <row r="7" spans="1:27" ht="43.5" customHeight="1">
      <c r="A7" s="531"/>
      <c r="B7" s="532"/>
      <c r="C7" s="531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6" t="s">
        <v>134</v>
      </c>
      <c r="P7" s="166" t="s">
        <v>144</v>
      </c>
      <c r="Q7" s="50" t="s">
        <v>190</v>
      </c>
      <c r="R7" s="50" t="s">
        <v>189</v>
      </c>
      <c r="S7" s="49" t="s">
        <v>188</v>
      </c>
      <c r="T7" s="529"/>
      <c r="U7" s="529"/>
      <c r="V7" s="529"/>
      <c r="W7" s="527"/>
      <c r="X7" s="527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90"/>
      <c r="W8" s="57"/>
      <c r="X8" s="57"/>
      <c r="Y8" s="36">
        <f>Z8+AA8</f>
        <v>380.63202366982557</v>
      </c>
      <c r="Z8" s="58">
        <v>148.70846268881849</v>
      </c>
      <c r="AA8" s="58">
        <v>231.92356098100709</v>
      </c>
      <c r="AC8" s="74">
        <v>192.9999999999999</v>
      </c>
      <c r="AD8" s="74">
        <v>301</v>
      </c>
      <c r="AO8">
        <v>13.774230059876057</v>
      </c>
    </row>
    <row r="9" spans="1:41" ht="15">
      <c r="A9" s="5">
        <v>2</v>
      </c>
      <c r="B9" s="6" t="s">
        <v>22</v>
      </c>
      <c r="C9" s="86">
        <v>2</v>
      </c>
      <c r="D9" s="36">
        <f>'Anne-6'!D10+'Anne-7'!F10+'Anne-8'!D10</f>
        <v>11091107</v>
      </c>
      <c r="E9" s="56"/>
      <c r="F9" s="36">
        <f>D9+E9</f>
        <v>11091107</v>
      </c>
      <c r="G9" s="85">
        <f>'Anne-6'!G10+'Anne-8'!H10</f>
        <v>17830511</v>
      </c>
      <c r="H9" s="8">
        <f>'Anne-6'!S10+'Anne-7'!I10+'Anne-8'!I10</f>
        <v>6898924</v>
      </c>
      <c r="I9" s="36">
        <f>'Anne-6'!I10+'Anne-8'!M10</f>
        <v>6086256</v>
      </c>
      <c r="J9" s="36">
        <f>G9-D9</f>
        <v>6739404</v>
      </c>
      <c r="K9" s="106">
        <f>J9/D9</f>
        <v>0.6076403374343066</v>
      </c>
      <c r="L9" s="8">
        <f>'Anne-8'!J10+'Anne-7'!J10</f>
        <v>7067821</v>
      </c>
      <c r="M9" s="36">
        <f>'Anne-6'!N10</f>
        <v>10632055</v>
      </c>
      <c r="N9" s="36">
        <f>'Anne-6'!K10</f>
        <v>1871685</v>
      </c>
      <c r="O9" s="36">
        <f>'Anne-6'!V10</f>
        <v>4029580</v>
      </c>
      <c r="P9" s="36">
        <f>'Anne-6'!W10</f>
        <v>9763</v>
      </c>
      <c r="Q9" s="36">
        <f>+'Anne-7'!L10+'Anne-8'!L10</f>
        <v>679838</v>
      </c>
      <c r="R9" s="36"/>
      <c r="S9" s="36"/>
      <c r="T9" s="36">
        <f aca="true" t="shared" si="1" ref="T9:T37">G9+H9+L9+I9+M9+N9+S9+R9+Q9+O9+P9</f>
        <v>55106433</v>
      </c>
      <c r="U9" s="36">
        <f t="shared" si="0"/>
        <v>66197540</v>
      </c>
      <c r="V9" s="140">
        <f>D9/U9*100</f>
        <v>16.754560667964398</v>
      </c>
      <c r="W9" s="57">
        <f>U9/(X9*1000)</f>
        <v>0.7748248964858618</v>
      </c>
      <c r="X9" s="59">
        <f>Y9</f>
        <v>85435.48393996127</v>
      </c>
      <c r="Y9" s="36">
        <f aca="true" t="shared" si="2" ref="Y9:Y37">Z9+AA9</f>
        <v>85435.48393996127</v>
      </c>
      <c r="Z9" s="58">
        <v>23681.161400812787</v>
      </c>
      <c r="AA9" s="58">
        <v>61754.32253914848</v>
      </c>
      <c r="AC9" s="74">
        <v>23487</v>
      </c>
      <c r="AD9" s="74">
        <v>61248</v>
      </c>
      <c r="AO9">
        <v>15.992765979229496</v>
      </c>
    </row>
    <row r="10" spans="1:41" ht="15">
      <c r="A10" s="5">
        <v>3</v>
      </c>
      <c r="B10" s="6" t="s">
        <v>23</v>
      </c>
      <c r="C10" s="86">
        <v>5</v>
      </c>
      <c r="D10" s="36">
        <f>'Anne-6'!D11+'Anne-7'!F11+'Anne-8'!D11</f>
        <v>1422194</v>
      </c>
      <c r="E10" s="56"/>
      <c r="F10" s="36">
        <f aca="true" t="shared" si="3" ref="F10:F36">D10+E10</f>
        <v>1422194</v>
      </c>
      <c r="G10" s="85">
        <f>'Anne-6'!G11+'Anne-8'!H11</f>
        <v>3826231</v>
      </c>
      <c r="H10" s="85">
        <f>'Anne-6'!S11+'Anne-7'!I11+'Anne-8'!I11</f>
        <v>3060184</v>
      </c>
      <c r="I10" s="85">
        <f>'Anne-6'!I11+'Anne-8'!M11</f>
        <v>2188133</v>
      </c>
      <c r="J10" s="36"/>
      <c r="K10" s="36"/>
      <c r="L10" s="8">
        <f>'Anne-8'!J11+'Anne-7'!J11</f>
        <v>122967</v>
      </c>
      <c r="M10" s="8">
        <f>'Anne-6'!N11</f>
        <v>368973</v>
      </c>
      <c r="N10" s="85">
        <f>'Anne-6'!K11</f>
        <v>3542284</v>
      </c>
      <c r="O10" s="36">
        <f>'Anne-6'!V11</f>
        <v>779</v>
      </c>
      <c r="P10" s="36">
        <f>'Anne-6'!W11</f>
        <v>0</v>
      </c>
      <c r="Q10" s="36">
        <f>+'Anne-7'!L11+'Anne-8'!L11</f>
        <v>1280</v>
      </c>
      <c r="R10" s="36"/>
      <c r="S10" s="36"/>
      <c r="T10" s="36">
        <f t="shared" si="1"/>
        <v>13110831</v>
      </c>
      <c r="U10" s="36">
        <f t="shared" si="0"/>
        <v>14533025</v>
      </c>
      <c r="V10" s="140">
        <f>D10/U10*100</f>
        <v>9.785946146793252</v>
      </c>
      <c r="W10" s="57">
        <f aca="true" t="shared" si="4" ref="W10:W37">U10/(X10*1000)</f>
        <v>0.4577020019878697</v>
      </c>
      <c r="X10" s="59">
        <f aca="true" t="shared" si="5" ref="X10:X36">Y10</f>
        <v>31752.155194604464</v>
      </c>
      <c r="Y10" s="36">
        <f t="shared" si="2"/>
        <v>31752.155194604464</v>
      </c>
      <c r="Z10" s="58">
        <v>4748.073194011288</v>
      </c>
      <c r="AA10" s="58">
        <v>27004.082000593175</v>
      </c>
      <c r="AC10" s="74">
        <v>4571.000000000004</v>
      </c>
      <c r="AD10" s="74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6">
        <v>3</v>
      </c>
      <c r="D11" s="36">
        <f>'Anne-6'!D12+'Anne-7'!F12+'Anne-8'!D12</f>
        <v>6547156</v>
      </c>
      <c r="E11" s="56"/>
      <c r="F11" s="36">
        <f t="shared" si="3"/>
        <v>6547156</v>
      </c>
      <c r="G11" s="85">
        <f>'Anne-6'!G12+'Anne-8'!H12</f>
        <v>18619726</v>
      </c>
      <c r="H11" s="85">
        <f>'Anne-6'!S12+'Anne-7'!I12+'Anne-8'!I12</f>
        <v>9220867</v>
      </c>
      <c r="I11" s="8">
        <f>'Anne-6'!I12+'Anne-8'!M12</f>
        <v>6381278</v>
      </c>
      <c r="J11" s="36">
        <f>G11-D11</f>
        <v>12072570</v>
      </c>
      <c r="K11" s="106">
        <f>J11/D11</f>
        <v>1.8439410944232886</v>
      </c>
      <c r="L11" s="8">
        <f>'Anne-8'!J12+'Anne-7'!J12</f>
        <v>3864516</v>
      </c>
      <c r="M11" s="36">
        <f>'Anne-6'!N12</f>
        <v>5459296</v>
      </c>
      <c r="N11" s="36">
        <f>'Anne-6'!K12</f>
        <v>4981643</v>
      </c>
      <c r="O11" s="36">
        <f>'Anne-6'!V12</f>
        <v>5005668</v>
      </c>
      <c r="P11" s="36">
        <f>'Anne-6'!W12</f>
        <v>18598</v>
      </c>
      <c r="Q11" s="36">
        <f>+'Anne-7'!L12+'Anne-8'!L12</f>
        <v>1481580</v>
      </c>
      <c r="R11" s="36"/>
      <c r="S11" s="36"/>
      <c r="T11" s="36">
        <f t="shared" si="1"/>
        <v>55033172</v>
      </c>
      <c r="U11" s="36">
        <f t="shared" si="0"/>
        <v>61580328</v>
      </c>
      <c r="V11" s="140">
        <f>D11/U11*100</f>
        <v>10.631895302668735</v>
      </c>
      <c r="W11" s="57">
        <f t="shared" si="4"/>
        <v>0.43669417958410833</v>
      </c>
      <c r="X11" s="59">
        <f>Y11+Y17</f>
        <v>141014.76703593088</v>
      </c>
      <c r="Y11" s="36">
        <f t="shared" si="2"/>
        <v>107138.16486489636</v>
      </c>
      <c r="Z11" s="58">
        <v>11270.777065197854</v>
      </c>
      <c r="AA11" s="58">
        <v>95867.38779969851</v>
      </c>
      <c r="AC11" s="74">
        <v>10279.999999999993</v>
      </c>
      <c r="AD11" s="74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6"/>
      <c r="D12" s="36">
        <f>'Anne-6'!D13+'Anne-7'!F13+'Anne-8'!D13</f>
        <v>0</v>
      </c>
      <c r="E12" s="56"/>
      <c r="F12" s="36">
        <f t="shared" si="3"/>
        <v>0</v>
      </c>
      <c r="G12" s="8">
        <f>'Anne-6'!G13+'Anne-8'!H13</f>
        <v>0</v>
      </c>
      <c r="H12" s="36">
        <f>'Anne-6'!S13+'Anne-7'!I13+'Anne-8'!I13</f>
        <v>0</v>
      </c>
      <c r="I12" s="36">
        <f>'Anne-6'!I13+'Anne-8'!M13</f>
        <v>0</v>
      </c>
      <c r="J12" s="36"/>
      <c r="K12" s="36"/>
      <c r="L12" s="8">
        <f>'Anne-8'!J13+'Anne-7'!J13</f>
        <v>0</v>
      </c>
      <c r="M12" s="36">
        <f>'Anne-6'!N13</f>
        <v>0</v>
      </c>
      <c r="N12" s="36">
        <f>'Anne-6'!K13</f>
        <v>0</v>
      </c>
      <c r="O12" s="36">
        <f>'Anne-6'!V13</f>
        <v>0</v>
      </c>
      <c r="P12" s="36">
        <f>'Anne-6'!W13</f>
        <v>0</v>
      </c>
      <c r="Q12" s="36">
        <f>+'Anne-7'!L13+'Anne-8'!L13</f>
        <v>0</v>
      </c>
      <c r="R12" s="36"/>
      <c r="S12" s="36"/>
      <c r="T12" s="36">
        <f t="shared" si="1"/>
        <v>0</v>
      </c>
      <c r="U12" s="36">
        <f t="shared" si="0"/>
        <v>0</v>
      </c>
      <c r="V12" s="140"/>
      <c r="W12" s="57" t="e">
        <f t="shared" si="4"/>
        <v>#DIV/0!</v>
      </c>
      <c r="X12" s="59"/>
      <c r="Y12" s="36">
        <f t="shared" si="2"/>
        <v>26256.010819255353</v>
      </c>
      <c r="Z12" s="58">
        <v>6061.24414988169</v>
      </c>
      <c r="AA12" s="58">
        <v>20194.766669373665</v>
      </c>
      <c r="AC12" s="74">
        <v>5599.999999999996</v>
      </c>
      <c r="AD12" s="74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6">
        <v>5</v>
      </c>
      <c r="D13" s="36">
        <f>'Anne-6'!D14+'Anne-7'!F14+'Anne-8'!D14</f>
        <v>5815799</v>
      </c>
      <c r="E13" s="56"/>
      <c r="F13" s="36">
        <f t="shared" si="3"/>
        <v>5815799</v>
      </c>
      <c r="G13" s="85">
        <f>'Anne-6'!G14+'Anne-8'!H14</f>
        <v>6866105</v>
      </c>
      <c r="H13" s="85">
        <f>'Anne-6'!S14+'Anne-7'!I14+'Anne-8'!I14</f>
        <v>6820678</v>
      </c>
      <c r="I13" s="85">
        <f>'Anne-6'!I14+'Anne-8'!M14</f>
        <v>15801326</v>
      </c>
      <c r="J13" s="36">
        <f>I13-D13</f>
        <v>9985527</v>
      </c>
      <c r="K13" s="106">
        <f>J13/D13</f>
        <v>1.7169656310336723</v>
      </c>
      <c r="L13" s="8">
        <f>'Anne-8'!J14+'Anne-7'!J14</f>
        <v>3086606</v>
      </c>
      <c r="M13" s="85">
        <f>'Anne-6'!N14</f>
        <v>8018178</v>
      </c>
      <c r="N13" s="36">
        <f>'Anne-6'!K14</f>
        <v>338457</v>
      </c>
      <c r="O13" s="36">
        <f>'Anne-6'!V14</f>
        <v>4430904</v>
      </c>
      <c r="P13" s="36">
        <f>'Anne-6'!W14</f>
        <v>657286</v>
      </c>
      <c r="Q13" s="36">
        <f>+'Anne-7'!L14+'Anne-8'!L14</f>
        <v>231729</v>
      </c>
      <c r="R13" s="36"/>
      <c r="S13" s="36"/>
      <c r="T13" s="36">
        <f t="shared" si="1"/>
        <v>46251269</v>
      </c>
      <c r="U13" s="36">
        <f t="shared" si="0"/>
        <v>52067068</v>
      </c>
      <c r="V13" s="140">
        <f>D13/U13*100</f>
        <v>11.169822352969828</v>
      </c>
      <c r="W13" s="57">
        <f t="shared" si="4"/>
        <v>0.8348245462776984</v>
      </c>
      <c r="X13" s="59">
        <f t="shared" si="5"/>
        <v>62368.875271044395</v>
      </c>
      <c r="Y13" s="36">
        <f t="shared" si="2"/>
        <v>62368.875271044395</v>
      </c>
      <c r="Z13" s="58">
        <v>25144.557286022624</v>
      </c>
      <c r="AA13" s="58">
        <v>37224.31798502177</v>
      </c>
      <c r="AC13" s="74">
        <v>24045.999999999985</v>
      </c>
      <c r="AD13" s="74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6">
        <v>2</v>
      </c>
      <c r="D14" s="36">
        <f>'Anne-6'!D15+'Anne-7'!F15+'Anne-8'!D15</f>
        <v>3558960</v>
      </c>
      <c r="E14" s="56"/>
      <c r="F14" s="36">
        <f t="shared" si="3"/>
        <v>3558960</v>
      </c>
      <c r="G14" s="8">
        <f>'Anne-6'!G15+'Anne-8'!H15</f>
        <v>2241694</v>
      </c>
      <c r="H14" s="8">
        <f>'Anne-6'!S15+'Anne-7'!I15+'Anne-8'!I15</f>
        <v>2126969</v>
      </c>
      <c r="I14" s="85">
        <f>'Anne-6'!I15+'Anne-8'!M15</f>
        <v>4437015</v>
      </c>
      <c r="J14" s="36"/>
      <c r="K14" s="36"/>
      <c r="L14" s="8">
        <f>'Anne-8'!J15+'Anne-7'!J15</f>
        <v>2703719</v>
      </c>
      <c r="M14" s="8">
        <f>'Anne-6'!N15</f>
        <v>3533255</v>
      </c>
      <c r="N14" s="36">
        <f>'Anne-6'!K15</f>
        <v>427498</v>
      </c>
      <c r="O14" s="36">
        <f>'Anne-6'!V15</f>
        <v>437</v>
      </c>
      <c r="P14" s="36">
        <f>'Anne-6'!W15</f>
        <v>913010</v>
      </c>
      <c r="Q14" s="36">
        <f>+'Anne-7'!L15+'Anne-8'!L15</f>
        <v>156659</v>
      </c>
      <c r="R14" s="36"/>
      <c r="S14" s="36"/>
      <c r="T14" s="36">
        <f t="shared" si="1"/>
        <v>16540256</v>
      </c>
      <c r="U14" s="36">
        <f t="shared" si="0"/>
        <v>20099216</v>
      </c>
      <c r="V14" s="140">
        <f>D14/U14*100</f>
        <v>17.706959316224076</v>
      </c>
      <c r="W14" s="57">
        <f t="shared" si="4"/>
        <v>0.7744982535379846</v>
      </c>
      <c r="X14" s="59">
        <f t="shared" si="5"/>
        <v>25951.273496337522</v>
      </c>
      <c r="Y14" s="36">
        <f t="shared" si="2"/>
        <v>25951.273496337522</v>
      </c>
      <c r="Z14" s="58">
        <v>8728.294981511204</v>
      </c>
      <c r="AA14" s="58">
        <v>17222.978514826318</v>
      </c>
      <c r="AC14" s="74">
        <v>8555.999999999993</v>
      </c>
      <c r="AD14" s="74">
        <v>16883</v>
      </c>
      <c r="AO14">
        <v>20.876024789608948</v>
      </c>
    </row>
    <row r="15" spans="1:41" s="389" customFormat="1" ht="15">
      <c r="A15" s="384">
        <v>8</v>
      </c>
      <c r="B15" s="385" t="s">
        <v>28</v>
      </c>
      <c r="C15" s="384">
        <v>2</v>
      </c>
      <c r="D15" s="97">
        <f>'Anne-6'!D16+'Anne-7'!F16+'Anne-8'!D16</f>
        <v>1872765</v>
      </c>
      <c r="E15" s="391"/>
      <c r="F15" s="97">
        <f t="shared" si="3"/>
        <v>1872765</v>
      </c>
      <c r="G15" s="94">
        <f>'Anne-6'!G16+'Anne-8'!H16</f>
        <v>1904509</v>
      </c>
      <c r="H15" s="71">
        <f>'Anne-6'!S16+'Anne-7'!I16+'Anne-8'!I16</f>
        <v>1440819</v>
      </c>
      <c r="I15" s="36">
        <f>'Anne-6'!I16+'Anne-8'!M16</f>
        <v>475329</v>
      </c>
      <c r="J15" s="97"/>
      <c r="K15" s="97"/>
      <c r="L15" s="71">
        <f>'Anne-8'!J16+'Anne-7'!J16</f>
        <v>198455</v>
      </c>
      <c r="M15" s="97">
        <f>'Anne-6'!N16</f>
        <v>447450</v>
      </c>
      <c r="N15" s="97">
        <f>'Anne-6'!K16</f>
        <v>714277</v>
      </c>
      <c r="O15" s="97">
        <f>'Anne-6'!V16</f>
        <v>151</v>
      </c>
      <c r="P15" s="97">
        <f>'Anne-6'!W16</f>
        <v>44555</v>
      </c>
      <c r="Q15" s="97">
        <f>+'Anne-7'!L16+'Anne-8'!L16</f>
        <v>71</v>
      </c>
      <c r="R15" s="97"/>
      <c r="S15" s="97"/>
      <c r="T15" s="97">
        <f t="shared" si="1"/>
        <v>5225616</v>
      </c>
      <c r="U15" s="97">
        <f t="shared" si="0"/>
        <v>7098381</v>
      </c>
      <c r="V15" s="392">
        <f>D15/U15*100</f>
        <v>26.382987895408828</v>
      </c>
      <c r="W15" s="393">
        <f t="shared" si="4"/>
        <v>1.0230894955779575</v>
      </c>
      <c r="X15" s="394">
        <f t="shared" si="5"/>
        <v>6938.181880159003</v>
      </c>
      <c r="Y15" s="97">
        <f t="shared" si="2"/>
        <v>6938.181880159003</v>
      </c>
      <c r="Z15" s="87">
        <v>766.0292080257991</v>
      </c>
      <c r="AA15" s="87">
        <v>6172.152672133204</v>
      </c>
      <c r="AC15" s="395">
        <v>750.0000000000005</v>
      </c>
      <c r="AD15" s="395">
        <v>6042.999999999996</v>
      </c>
      <c r="AO15" s="389">
        <v>15.143006936224735</v>
      </c>
    </row>
    <row r="16" spans="1:41" ht="15">
      <c r="A16" s="5">
        <v>9</v>
      </c>
      <c r="B16" s="6" t="s">
        <v>29</v>
      </c>
      <c r="C16" s="86">
        <v>3</v>
      </c>
      <c r="D16" s="36">
        <f>'Anne-6'!D17+'Anne-7'!F17+'Anne-8'!D17</f>
        <v>1352405</v>
      </c>
      <c r="E16" s="56"/>
      <c r="F16" s="36">
        <f t="shared" si="3"/>
        <v>1352405</v>
      </c>
      <c r="G16" s="85">
        <f>'Anne-6'!G17+'Anne-8'!H17</f>
        <v>2302707</v>
      </c>
      <c r="H16" s="36">
        <f>'Anne-6'!S17+'Anne-7'!I17+'Anne-8'!I17</f>
        <v>606558</v>
      </c>
      <c r="I16" s="36">
        <f>'Anne-6'!I17+'Anne-8'!M17</f>
        <v>666009</v>
      </c>
      <c r="J16" s="36"/>
      <c r="K16" s="36"/>
      <c r="L16" s="8">
        <f>'Anne-8'!J17+'Anne-7'!J17</f>
        <v>85405</v>
      </c>
      <c r="M16" s="36">
        <f>'Anne-6'!N17</f>
        <v>201578</v>
      </c>
      <c r="N16" s="85">
        <f>'Anne-6'!K17</f>
        <v>1786423</v>
      </c>
      <c r="O16" s="36">
        <f>'Anne-6'!V17</f>
        <v>319</v>
      </c>
      <c r="P16" s="36">
        <f>'Anne-6'!W17</f>
        <v>0</v>
      </c>
      <c r="Q16" s="36">
        <f>+'Anne-7'!L17+'Anne-8'!L17</f>
        <v>21</v>
      </c>
      <c r="R16" s="36"/>
      <c r="S16" s="36"/>
      <c r="T16" s="36">
        <f t="shared" si="1"/>
        <v>5649020</v>
      </c>
      <c r="U16" s="36">
        <f t="shared" si="0"/>
        <v>7001425</v>
      </c>
      <c r="V16" s="140">
        <f>D16/U16*100</f>
        <v>19.316139214517044</v>
      </c>
      <c r="W16" s="57">
        <f t="shared" si="4"/>
        <v>0.5417468824959266</v>
      </c>
      <c r="X16" s="59">
        <f t="shared" si="5"/>
        <v>12923.793797839979</v>
      </c>
      <c r="Y16" s="36">
        <f t="shared" si="2"/>
        <v>12923.793797839979</v>
      </c>
      <c r="Z16" s="58">
        <v>3466.4178107707025</v>
      </c>
      <c r="AA16" s="58">
        <v>9457.375987069276</v>
      </c>
      <c r="AC16" s="74">
        <v>3143.000000000002</v>
      </c>
      <c r="AD16" s="74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6"/>
      <c r="D17" s="36">
        <f>'Anne-6'!D18+'Anne-7'!F18+'Anne-8'!D18</f>
        <v>0</v>
      </c>
      <c r="E17" s="56"/>
      <c r="F17" s="36">
        <f t="shared" si="3"/>
        <v>0</v>
      </c>
      <c r="G17" s="8">
        <f>'Anne-6'!G18+'Anne-8'!H18</f>
        <v>0</v>
      </c>
      <c r="H17" s="36">
        <f>'Anne-6'!S18+'Anne-7'!I18+'Anne-8'!I18</f>
        <v>0</v>
      </c>
      <c r="I17" s="36">
        <f>'Anne-6'!I18+'Anne-8'!M18</f>
        <v>0</v>
      </c>
      <c r="J17" s="36"/>
      <c r="K17" s="36"/>
      <c r="L17" s="8">
        <f>'Anne-8'!J18+'Anne-7'!J18</f>
        <v>0</v>
      </c>
      <c r="M17" s="36">
        <f>'Anne-6'!N18</f>
        <v>0</v>
      </c>
      <c r="N17" s="36">
        <f>'Anne-6'!K18</f>
        <v>0</v>
      </c>
      <c r="O17" s="36">
        <f>'Anne-6'!V18</f>
        <v>0</v>
      </c>
      <c r="P17" s="36">
        <f>'Anne-6'!W18</f>
        <v>0</v>
      </c>
      <c r="Q17" s="36">
        <f>+'Anne-7'!L18+'Anne-8'!L18</f>
        <v>0</v>
      </c>
      <c r="R17" s="36"/>
      <c r="S17" s="36"/>
      <c r="T17" s="36">
        <f t="shared" si="1"/>
        <v>0</v>
      </c>
      <c r="U17" s="36">
        <f t="shared" si="0"/>
        <v>0</v>
      </c>
      <c r="V17" s="140"/>
      <c r="W17" s="57" t="e">
        <f t="shared" si="4"/>
        <v>#DIV/0!</v>
      </c>
      <c r="X17" s="59"/>
      <c r="Y17" s="36">
        <f t="shared" si="2"/>
        <v>33876.60217103452</v>
      </c>
      <c r="Z17" s="58">
        <v>7890.044926082967</v>
      </c>
      <c r="AA17" s="58">
        <v>25986.557244951557</v>
      </c>
      <c r="AC17" s="74">
        <v>7330.000000000004</v>
      </c>
      <c r="AD17" s="74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6">
        <v>2</v>
      </c>
      <c r="D18" s="36">
        <f>'Anne-6'!D19+'Anne-7'!F19+'Anne-8'!D19</f>
        <v>8703976</v>
      </c>
      <c r="E18" s="56"/>
      <c r="F18" s="36">
        <f t="shared" si="3"/>
        <v>8703976</v>
      </c>
      <c r="G18" s="85">
        <f>'Anne-6'!G19+'Anne-8'!H19</f>
        <v>16388000</v>
      </c>
      <c r="H18" s="8">
        <f>'Anne-6'!S19+'Anne-7'!I19+'Anne-8'!I19</f>
        <v>6529627</v>
      </c>
      <c r="I18" s="36">
        <f>'Anne-6'!I19+'Anne-8'!M19</f>
        <v>6455380</v>
      </c>
      <c r="J18" s="36">
        <f>G18-D18</f>
        <v>7684024</v>
      </c>
      <c r="K18" s="106">
        <f>J18/D18</f>
        <v>0.8828176915928996</v>
      </c>
      <c r="L18" s="8">
        <f>'Anne-8'!J19+'Anne-7'!J19</f>
        <v>6446246</v>
      </c>
      <c r="M18" s="36">
        <f>'Anne-6'!N19</f>
        <v>5890723</v>
      </c>
      <c r="N18" s="36">
        <f>'Anne-6'!K19</f>
        <v>1544826</v>
      </c>
      <c r="O18" s="36">
        <f>'Anne-6'!V19</f>
        <v>1061461</v>
      </c>
      <c r="P18" s="36">
        <f>'Anne-6'!W19</f>
        <v>8086</v>
      </c>
      <c r="Q18" s="36">
        <f>+'Anne-7'!L19+'Anne-8'!L19</f>
        <v>2204660</v>
      </c>
      <c r="R18" s="36"/>
      <c r="S18" s="36"/>
      <c r="T18" s="36">
        <f t="shared" si="1"/>
        <v>46529009</v>
      </c>
      <c r="U18" s="36">
        <f t="shared" si="0"/>
        <v>55232985</v>
      </c>
      <c r="V18" s="140">
        <f>D18/U18*100</f>
        <v>15.758655810472675</v>
      </c>
      <c r="W18" s="57">
        <f t="shared" si="4"/>
        <v>0.8887479263039869</v>
      </c>
      <c r="X18" s="59">
        <f t="shared" si="5"/>
        <v>62146.9635712074</v>
      </c>
      <c r="Y18" s="36">
        <f t="shared" si="2"/>
        <v>62146.9635712074</v>
      </c>
      <c r="Z18" s="58">
        <v>23112.533044927382</v>
      </c>
      <c r="AA18" s="58">
        <v>39034.43052628002</v>
      </c>
      <c r="AC18" s="74">
        <v>22097.999999999985</v>
      </c>
      <c r="AD18" s="74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5">
        <v>1</v>
      </c>
      <c r="D19" s="36">
        <f>'Anne-6'!D20+'Anne-7'!F20+'Anne-8'!D20</f>
        <v>10594458</v>
      </c>
      <c r="E19" s="56"/>
      <c r="F19" s="36">
        <f t="shared" si="3"/>
        <v>10594458</v>
      </c>
      <c r="G19" s="8">
        <f>'Anne-6'!G20+'Anne-8'!H20</f>
        <v>3489305</v>
      </c>
      <c r="H19" s="36">
        <f>'Anne-6'!S20+'Anne-7'!I20+'Anne-8'!I20</f>
        <v>2939485</v>
      </c>
      <c r="I19" s="36">
        <f>'Anne-6'!I20+'Anne-8'!M20</f>
        <v>6067506</v>
      </c>
      <c r="J19" s="36"/>
      <c r="K19" s="36"/>
      <c r="L19" s="8">
        <f>'Anne-8'!J20+'Anne-7'!J20</f>
        <v>2003902</v>
      </c>
      <c r="M19" s="36">
        <f>'Anne-6'!N20</f>
        <v>7778697</v>
      </c>
      <c r="N19" s="36">
        <f>'Anne-6'!K20</f>
        <v>1522927</v>
      </c>
      <c r="O19" s="36">
        <f>'Anne-6'!V20</f>
        <v>391794</v>
      </c>
      <c r="P19" s="36">
        <f>'Anne-6'!W20</f>
        <v>9730</v>
      </c>
      <c r="Q19" s="36">
        <f>+'Anne-7'!L20+'Anne-8'!L20</f>
        <v>541973</v>
      </c>
      <c r="R19" s="36"/>
      <c r="S19" s="36"/>
      <c r="T19" s="36">
        <f t="shared" si="1"/>
        <v>24745319</v>
      </c>
      <c r="U19" s="36">
        <f t="shared" si="0"/>
        <v>35339777</v>
      </c>
      <c r="V19" s="140">
        <f>D19/U19*100</f>
        <v>29.97884791406579</v>
      </c>
      <c r="W19" s="57">
        <f t="shared" si="4"/>
        <v>1.0576810942347579</v>
      </c>
      <c r="X19" s="59">
        <f t="shared" si="5"/>
        <v>33412.50703319856</v>
      </c>
      <c r="Y19" s="36">
        <f t="shared" si="2"/>
        <v>33412.50703319856</v>
      </c>
      <c r="Z19" s="58">
        <v>8537.605004498986</v>
      </c>
      <c r="AA19" s="58">
        <v>24874.902028699573</v>
      </c>
      <c r="AC19" s="74">
        <v>8850.999999999993</v>
      </c>
      <c r="AD19" s="74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6">
        <v>4</v>
      </c>
      <c r="D20" s="36">
        <f>'Anne-6'!D21+'Anne-7'!F21+'Anne-8'!D21</f>
        <v>5864895</v>
      </c>
      <c r="E20" s="56"/>
      <c r="F20" s="36">
        <f t="shared" si="3"/>
        <v>5864895</v>
      </c>
      <c r="G20" s="85">
        <f>'Anne-6'!G21+'Anne-8'!H21</f>
        <v>9898719</v>
      </c>
      <c r="H20" s="85">
        <f>'Anne-6'!S21+'Anne-7'!I21+'Anne-8'!I21</f>
        <v>11577564</v>
      </c>
      <c r="I20" s="36">
        <f>'Anne-6'!I21+'Anne-8'!M21</f>
        <v>4101937</v>
      </c>
      <c r="J20" s="36">
        <f>H20-D20</f>
        <v>5712669</v>
      </c>
      <c r="K20" s="106">
        <f>J20/D20</f>
        <v>0.9740445481121145</v>
      </c>
      <c r="L20" s="8">
        <f>'Anne-8'!J21+'Anne-7'!J21</f>
        <v>3952629</v>
      </c>
      <c r="M20" s="85">
        <f>'Anne-6'!N21</f>
        <v>14731226</v>
      </c>
      <c r="N20" s="36">
        <f>'Anne-6'!K21</f>
        <v>680866</v>
      </c>
      <c r="O20" s="36">
        <f>'Anne-6'!V21</f>
        <v>1313</v>
      </c>
      <c r="P20" s="36">
        <f>'Anne-6'!W21</f>
        <v>976589</v>
      </c>
      <c r="Q20" s="36">
        <f>+'Anne-7'!L21+'Anne-8'!L21</f>
        <v>3121</v>
      </c>
      <c r="R20" s="36"/>
      <c r="S20" s="36"/>
      <c r="T20" s="36">
        <f t="shared" si="1"/>
        <v>45923964</v>
      </c>
      <c r="U20" s="36">
        <f t="shared" si="0"/>
        <v>51788859</v>
      </c>
      <c r="V20" s="140">
        <f>D20/U20*100</f>
        <v>11.324626788939298</v>
      </c>
      <c r="W20" s="57">
        <f t="shared" si="4"/>
        <v>0.5147264877741092</v>
      </c>
      <c r="X20" s="59">
        <f>Y20+Y12</f>
        <v>100614.3266960216</v>
      </c>
      <c r="Y20" s="36">
        <f>Z20+AA20</f>
        <v>74358.31587676625</v>
      </c>
      <c r="Z20" s="58">
        <v>20583.452924003475</v>
      </c>
      <c r="AA20" s="58">
        <v>53774.86295276278</v>
      </c>
      <c r="AC20" s="74">
        <v>19986.000000000015</v>
      </c>
      <c r="AD20" s="74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6">
        <v>4</v>
      </c>
      <c r="D21" s="36">
        <f>'Anne-6'!D22+'Anne-7'!F22+'Anne-8'!D22</f>
        <v>8800543</v>
      </c>
      <c r="E21" s="56"/>
      <c r="F21" s="36">
        <f t="shared" si="3"/>
        <v>8800543</v>
      </c>
      <c r="G21" s="85">
        <f>'Anne-6'!G22+'Anne-8'!H22</f>
        <v>9905867</v>
      </c>
      <c r="H21" s="8">
        <f>'Anne-6'!S22+'Anne-7'!I22+'Anne-8'!I22</f>
        <v>7932792</v>
      </c>
      <c r="I21" s="85">
        <f>'Anne-6'!I22+'Anne-8'!M22</f>
        <v>12979673</v>
      </c>
      <c r="J21" s="36"/>
      <c r="K21" s="36"/>
      <c r="L21" s="8">
        <f>'Anne-8'!J22+'Anne-7'!J22</f>
        <v>6765882</v>
      </c>
      <c r="M21" s="85">
        <f>'Anne-6'!N22</f>
        <v>15554910</v>
      </c>
      <c r="N21" s="36">
        <f>'Anne-6'!K22</f>
        <v>1116017</v>
      </c>
      <c r="O21" s="36">
        <f>'Anne-6'!V22</f>
        <v>5638910</v>
      </c>
      <c r="P21" s="36">
        <f>'Anne-6'!W22</f>
        <v>8683</v>
      </c>
      <c r="Q21" s="36">
        <f>+'Anne-7'!L22+'Anne-8'!L22</f>
        <v>676571</v>
      </c>
      <c r="R21" s="36"/>
      <c r="S21" s="36"/>
      <c r="T21" s="36">
        <f t="shared" si="1"/>
        <v>60579305</v>
      </c>
      <c r="U21" s="36">
        <f t="shared" si="0"/>
        <v>69379848</v>
      </c>
      <c r="V21" s="140">
        <f>D21/U21*100</f>
        <v>12.684580975155782</v>
      </c>
      <c r="W21" s="57">
        <f t="shared" si="4"/>
        <v>0.7568088338727806</v>
      </c>
      <c r="X21" s="59">
        <f t="shared" si="5"/>
        <v>91674.2047591674</v>
      </c>
      <c r="Y21" s="36">
        <f t="shared" si="2"/>
        <v>91674.2047591674</v>
      </c>
      <c r="Z21" s="58">
        <v>31592.51582638088</v>
      </c>
      <c r="AA21" s="58">
        <v>60081.68893278652</v>
      </c>
      <c r="AC21" s="74">
        <v>32229.454713109284</v>
      </c>
      <c r="AD21" s="74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6">
        <v>3</v>
      </c>
      <c r="D22" s="36">
        <f>'Anne-6'!D23+'Anne-7'!F23+'Anne-8'!D23</f>
        <v>1953858</v>
      </c>
      <c r="E22" s="56"/>
      <c r="F22" s="36">
        <f t="shared" si="3"/>
        <v>1953858</v>
      </c>
      <c r="G22" s="85">
        <f>'Anne-6'!G23+'Anne-8'!H23</f>
        <v>2573994</v>
      </c>
      <c r="H22" s="36">
        <f>'Anne-6'!S23+'Anne-7'!I23+'Anne-8'!I23</f>
        <v>830331</v>
      </c>
      <c r="I22" s="36">
        <f>'Anne-6'!I23+'Anne-8'!M23</f>
        <v>928563</v>
      </c>
      <c r="J22" s="36"/>
      <c r="K22" s="36"/>
      <c r="L22" s="8">
        <f>'Anne-8'!J23+'Anne-7'!J23</f>
        <v>77452</v>
      </c>
      <c r="M22" s="36">
        <f>'Anne-6'!N23</f>
        <v>257734</v>
      </c>
      <c r="N22" s="85">
        <f>'Anne-6'!K23</f>
        <v>2334209</v>
      </c>
      <c r="O22" s="36">
        <f>'Anne-6'!V23</f>
        <v>90</v>
      </c>
      <c r="P22" s="36">
        <f>'Anne-6'!W23</f>
        <v>0</v>
      </c>
      <c r="Q22" s="36">
        <f>+'Anne-7'!L23+'Anne-8'!L23</f>
        <v>151</v>
      </c>
      <c r="R22" s="36"/>
      <c r="S22" s="36"/>
      <c r="T22" s="36">
        <f t="shared" si="1"/>
        <v>7002524</v>
      </c>
      <c r="U22" s="36">
        <f t="shared" si="0"/>
        <v>8956382</v>
      </c>
      <c r="V22" s="140">
        <f>D22/U22*100</f>
        <v>21.81525977788799</v>
      </c>
      <c r="W22" s="57">
        <f t="shared" si="4"/>
        <v>0.6356001048753687</v>
      </c>
      <c r="X22" s="59">
        <f>Y22+Y23</f>
        <v>14091.221715194977</v>
      </c>
      <c r="Y22" s="36">
        <f t="shared" si="2"/>
        <v>7921.051528563923</v>
      </c>
      <c r="Z22" s="58">
        <v>1926.387479878617</v>
      </c>
      <c r="AA22" s="58">
        <v>5994.664048685306</v>
      </c>
      <c r="AB22" s="93"/>
      <c r="AC22" s="74">
        <v>1760.999999999999</v>
      </c>
      <c r="AD22" s="74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5"/>
      <c r="D23" s="36">
        <f>'Anne-6'!D24+'Anne-7'!F24+'Anne-8'!D24</f>
        <v>0</v>
      </c>
      <c r="E23" s="56"/>
      <c r="F23" s="36">
        <f t="shared" si="3"/>
        <v>0</v>
      </c>
      <c r="G23" s="8">
        <f>'Anne-6'!G24+'Anne-8'!H24</f>
        <v>0</v>
      </c>
      <c r="H23" s="36">
        <f>'Anne-6'!S24+'Anne-7'!I24+'Anne-8'!I24</f>
        <v>0</v>
      </c>
      <c r="I23" s="36">
        <f>'Anne-6'!I24+'Anne-8'!M24</f>
        <v>0</v>
      </c>
      <c r="J23" s="36"/>
      <c r="K23" s="36"/>
      <c r="L23" s="8">
        <f>'Anne-8'!J24+'Anne-7'!J24</f>
        <v>0</v>
      </c>
      <c r="M23" s="36">
        <f>'Anne-6'!N24</f>
        <v>0</v>
      </c>
      <c r="N23" s="36">
        <f>'Anne-6'!K24</f>
        <v>0</v>
      </c>
      <c r="O23" s="36">
        <f>'Anne-6'!V24</f>
        <v>0</v>
      </c>
      <c r="P23" s="36">
        <f>'Anne-6'!W24</f>
        <v>0</v>
      </c>
      <c r="Q23" s="36">
        <f>+'Anne-7'!L24+'Anne-8'!L24</f>
        <v>0</v>
      </c>
      <c r="R23" s="36"/>
      <c r="S23" s="36"/>
      <c r="T23" s="36">
        <f t="shared" si="1"/>
        <v>0</v>
      </c>
      <c r="U23" s="36">
        <f t="shared" si="0"/>
        <v>0</v>
      </c>
      <c r="V23" s="140"/>
      <c r="W23" s="57" t="e">
        <f t="shared" si="4"/>
        <v>#DIV/0!</v>
      </c>
      <c r="X23" s="59"/>
      <c r="Y23" s="36">
        <f t="shared" si="2"/>
        <v>6170.170186631055</v>
      </c>
      <c r="Z23" s="58">
        <v>1466.9608189127878</v>
      </c>
      <c r="AA23" s="58">
        <v>4703.2093677182675</v>
      </c>
      <c r="AC23" s="74">
        <v>1412.000000000001</v>
      </c>
      <c r="AD23" s="74">
        <v>4527</v>
      </c>
      <c r="AO23">
        <v>14.95800929070746</v>
      </c>
    </row>
    <row r="24" spans="1:41" ht="15">
      <c r="A24" s="5">
        <v>17</v>
      </c>
      <c r="B24" s="6" t="s">
        <v>37</v>
      </c>
      <c r="C24" s="86">
        <v>2</v>
      </c>
      <c r="D24" s="36">
        <f>'Anne-6'!D25+'Anne-7'!F25+'Anne-8'!D25</f>
        <v>4822907</v>
      </c>
      <c r="E24" s="56"/>
      <c r="F24" s="36">
        <f t="shared" si="3"/>
        <v>4822907</v>
      </c>
      <c r="G24" s="85">
        <f>'Anne-6'!G25+'Anne-8'!H25</f>
        <v>6652023</v>
      </c>
      <c r="H24" s="8">
        <f>'Anne-6'!S25+'Anne-7'!I25+'Anne-8'!I25</f>
        <v>3816800</v>
      </c>
      <c r="I24" s="36">
        <f>'Anne-6'!I25+'Anne-8'!M25</f>
        <v>2789785</v>
      </c>
      <c r="J24" s="36"/>
      <c r="K24" s="36"/>
      <c r="L24" s="8">
        <f>'Anne-8'!J25+'Anne-7'!J25</f>
        <v>2212554</v>
      </c>
      <c r="M24" s="36">
        <f>'Anne-6'!N25</f>
        <v>911343</v>
      </c>
      <c r="N24" s="36">
        <f>'Anne-6'!K25</f>
        <v>2791997</v>
      </c>
      <c r="O24" s="36">
        <f>'Anne-6'!V25</f>
        <v>703260</v>
      </c>
      <c r="P24" s="36">
        <f>'Anne-6'!W25</f>
        <v>10673</v>
      </c>
      <c r="Q24" s="36">
        <f>+'Anne-7'!L25+'Anne-8'!L25</f>
        <v>803</v>
      </c>
      <c r="R24" s="36"/>
      <c r="S24" s="36"/>
      <c r="T24" s="36">
        <f t="shared" si="1"/>
        <v>19889238</v>
      </c>
      <c r="U24" s="36">
        <f t="shared" si="0"/>
        <v>24712145</v>
      </c>
      <c r="V24" s="140">
        <f>D24/U24*100</f>
        <v>19.51634307746252</v>
      </c>
      <c r="W24" s="57">
        <f t="shared" si="4"/>
        <v>0.5810903011100331</v>
      </c>
      <c r="X24" s="59">
        <f t="shared" si="5"/>
        <v>42527.202661605945</v>
      </c>
      <c r="Y24" s="36">
        <f t="shared" si="2"/>
        <v>42527.202661605945</v>
      </c>
      <c r="Z24" s="58">
        <v>7129.959474456231</v>
      </c>
      <c r="AA24" s="58">
        <v>35397.24318714972</v>
      </c>
      <c r="AC24" s="74">
        <v>6831.999999999996</v>
      </c>
      <c r="AD24" s="74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6">
        <v>3</v>
      </c>
      <c r="D25" s="36">
        <f>'Anne-6'!D26+'Anne-7'!F26+'Anne-8'!D26</f>
        <v>5427394</v>
      </c>
      <c r="E25" s="56"/>
      <c r="F25" s="36">
        <f t="shared" si="3"/>
        <v>5427394</v>
      </c>
      <c r="G25" s="85">
        <f>'Anne-6'!G26+'Anne-8'!H26</f>
        <v>6906623</v>
      </c>
      <c r="H25" s="36">
        <f>'Anne-6'!S26+'Anne-7'!I26+'Anne-8'!I26</f>
        <v>2867473</v>
      </c>
      <c r="I25" s="36">
        <f>'Anne-6'!I26+'Anne-8'!M26</f>
        <v>4310093</v>
      </c>
      <c r="J25" s="36"/>
      <c r="K25" s="36"/>
      <c r="L25" s="8">
        <f>'Anne-8'!J26+'Anne-7'!J26</f>
        <v>2509027</v>
      </c>
      <c r="M25" s="85">
        <f>'Anne-6'!N26</f>
        <v>5493576</v>
      </c>
      <c r="N25" s="36">
        <f>'Anne-6'!K26</f>
        <v>973252</v>
      </c>
      <c r="O25" s="36">
        <f>'Anne-6'!V26</f>
        <v>430</v>
      </c>
      <c r="P25" s="36">
        <f>'Anne-6'!W26</f>
        <v>0</v>
      </c>
      <c r="Q25" s="36">
        <f>+'Anne-7'!L26+'Anne-8'!L26</f>
        <v>1147</v>
      </c>
      <c r="R25" s="36">
        <f>'Anne-7'!K26+'Anne-8'!K26</f>
        <v>1880473</v>
      </c>
      <c r="S25" s="36"/>
      <c r="T25" s="36">
        <f t="shared" si="1"/>
        <v>24942094</v>
      </c>
      <c r="U25" s="36">
        <f t="shared" si="0"/>
        <v>30369488</v>
      </c>
      <c r="V25" s="140">
        <f>D25/U25*100</f>
        <v>17.871206784915174</v>
      </c>
      <c r="W25" s="57">
        <f t="shared" si="4"/>
        <v>1.041807248816892</v>
      </c>
      <c r="X25" s="59">
        <f>Y25</f>
        <v>29150.77432460613</v>
      </c>
      <c r="Y25" s="36">
        <f t="shared" si="2"/>
        <v>29150.77432460613</v>
      </c>
      <c r="Z25" s="60">
        <v>11987.29980040215</v>
      </c>
      <c r="AA25" s="60">
        <v>17163.47452420398</v>
      </c>
      <c r="AC25" s="74">
        <v>11972.999999999993</v>
      </c>
      <c r="AD25" s="74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6">
        <v>3</v>
      </c>
      <c r="D26" s="36">
        <f>'Anne-6'!D27+'Anne-7'!F27+'Anne-8'!D27</f>
        <v>6893541</v>
      </c>
      <c r="E26" s="56"/>
      <c r="F26" s="36">
        <f t="shared" si="3"/>
        <v>6893541</v>
      </c>
      <c r="G26" s="85">
        <f>'Anne-6'!G27+'Anne-8'!H27</f>
        <v>14221353</v>
      </c>
      <c r="H26" s="8">
        <f>'Anne-6'!S27+'Anne-7'!I27+'Anne-8'!I27</f>
        <v>5404168</v>
      </c>
      <c r="I26" s="85">
        <f>'Anne-6'!I27+'Anne-8'!M27</f>
        <v>8565606</v>
      </c>
      <c r="J26" s="36">
        <f>G26-D26</f>
        <v>7327812</v>
      </c>
      <c r="K26" s="106">
        <f>J26/D26</f>
        <v>1.062996796566525</v>
      </c>
      <c r="L26" s="8">
        <f>'Anne-8'!J27+'Anne-7'!J27</f>
        <v>3078638</v>
      </c>
      <c r="M26" s="36">
        <f>'Anne-6'!N27</f>
        <v>4515251</v>
      </c>
      <c r="N26" s="36">
        <f>'Anne-6'!K27</f>
        <v>2712870</v>
      </c>
      <c r="O26" s="36">
        <f>'Anne-6'!V27</f>
        <v>1045</v>
      </c>
      <c r="P26" s="36">
        <f>'Anne-6'!W27</f>
        <v>6687</v>
      </c>
      <c r="Q26" s="36">
        <f>+'Anne-7'!L27+'Anne-8'!L27</f>
        <v>2257506</v>
      </c>
      <c r="R26" s="36"/>
      <c r="S26" s="36"/>
      <c r="T26" s="36">
        <f t="shared" si="1"/>
        <v>40763124</v>
      </c>
      <c r="U26" s="36">
        <f t="shared" si="0"/>
        <v>47656665</v>
      </c>
      <c r="V26" s="140">
        <f>D26/U26*100</f>
        <v>14.465009248968638</v>
      </c>
      <c r="W26" s="57">
        <f t="shared" si="4"/>
        <v>0.6768045625247034</v>
      </c>
      <c r="X26" s="59">
        <f t="shared" si="5"/>
        <v>70414.21946422018</v>
      </c>
      <c r="Y26" s="36">
        <f t="shared" si="2"/>
        <v>70414.21946422018</v>
      </c>
      <c r="Z26" s="58">
        <v>16832.766749407787</v>
      </c>
      <c r="AA26" s="58">
        <v>53581.452714812396</v>
      </c>
      <c r="AC26" s="74">
        <v>16214.999999999993</v>
      </c>
      <c r="AD26" s="74">
        <v>51615.00000000003</v>
      </c>
      <c r="AF26" s="84"/>
      <c r="AO26">
        <v>12.587224104140947</v>
      </c>
    </row>
    <row r="27" spans="1:41" ht="15">
      <c r="A27" s="5">
        <v>20</v>
      </c>
      <c r="B27" s="6" t="s">
        <v>40</v>
      </c>
      <c r="C27" s="86">
        <v>4</v>
      </c>
      <c r="D27" s="36">
        <f>'Anne-6'!D28+'Anne-7'!F28+'Anne-8'!D28</f>
        <v>9457239</v>
      </c>
      <c r="E27" s="56"/>
      <c r="F27" s="36">
        <f t="shared" si="3"/>
        <v>9457239</v>
      </c>
      <c r="G27" s="85">
        <f>'Anne-6'!G28+'Anne-8'!H28</f>
        <v>9834581</v>
      </c>
      <c r="H27" s="36">
        <f>'Anne-6'!S28+'Anne-7'!I28+'Anne-8'!I28</f>
        <v>5661992</v>
      </c>
      <c r="I27" s="85">
        <f>'Anne-6'!I28+'Anne-8'!M28</f>
        <v>9779217</v>
      </c>
      <c r="J27" s="36"/>
      <c r="K27" s="36"/>
      <c r="L27" s="8">
        <f>'Anne-8'!J28+'Anne-7'!J28</f>
        <v>4395401</v>
      </c>
      <c r="M27" s="36">
        <f>'Anne-6'!N28</f>
        <v>2172759</v>
      </c>
      <c r="N27" s="85">
        <f>'Anne-6'!K28</f>
        <v>17950019</v>
      </c>
      <c r="O27" s="36">
        <f>'Anne-6'!V28</f>
        <v>803528</v>
      </c>
      <c r="P27" s="36">
        <f>'Anne-6'!W28</f>
        <v>515005</v>
      </c>
      <c r="Q27" s="36">
        <f>+'Anne-7'!L28+'Anne-8'!L28</f>
        <v>1234562</v>
      </c>
      <c r="R27" s="36"/>
      <c r="S27" s="36"/>
      <c r="T27" s="36">
        <f t="shared" si="1"/>
        <v>52347064</v>
      </c>
      <c r="U27" s="36">
        <f t="shared" si="0"/>
        <v>61804303</v>
      </c>
      <c r="V27" s="140">
        <f>D27/U27*100</f>
        <v>15.301910289320794</v>
      </c>
      <c r="W27" s="57">
        <f t="shared" si="4"/>
        <v>0.9851306228473048</v>
      </c>
      <c r="X27" s="59">
        <f t="shared" si="5"/>
        <v>62737.16557644728</v>
      </c>
      <c r="Y27" s="36">
        <f t="shared" si="2"/>
        <v>62737.16557644728</v>
      </c>
      <c r="Z27" s="58">
        <v>28950.94938997442</v>
      </c>
      <c r="AA27" s="58">
        <v>33786.21618647286</v>
      </c>
      <c r="AC27" s="74">
        <v>28884.322622685115</v>
      </c>
      <c r="AD27" s="74">
        <v>31167.000000000015</v>
      </c>
      <c r="AE27">
        <f>Z27/Z34*AC34</f>
        <v>27984.00047138271</v>
      </c>
      <c r="AG27" s="84">
        <f>AC27-AE27</f>
        <v>900.3221513024037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5"/>
      <c r="D28" s="36">
        <f>'Anne-6'!D29+'Anne-7'!F29+'Anne-8'!D29</f>
        <v>0</v>
      </c>
      <c r="E28" s="56"/>
      <c r="F28" s="36">
        <f t="shared" si="3"/>
        <v>0</v>
      </c>
      <c r="G28" s="8">
        <f>'Anne-6'!G29+'Anne-8'!H29</f>
        <v>0</v>
      </c>
      <c r="H28" s="36">
        <f>'Anne-6'!S29+'Anne-7'!I29+'Anne-8'!I29</f>
        <v>0</v>
      </c>
      <c r="I28" s="36">
        <f>'Anne-6'!I29+'Anne-8'!M29</f>
        <v>0</v>
      </c>
      <c r="J28" s="36"/>
      <c r="K28" s="36"/>
      <c r="L28" s="8">
        <f>'Anne-8'!J29+'Anne-7'!J29</f>
        <v>0</v>
      </c>
      <c r="M28" s="36">
        <f>'Anne-6'!N29</f>
        <v>0</v>
      </c>
      <c r="N28" s="36">
        <f>'Anne-6'!K29</f>
        <v>0</v>
      </c>
      <c r="O28" s="36">
        <f>'Anne-6'!V29</f>
        <v>0</v>
      </c>
      <c r="P28" s="36">
        <f>'Anne-6'!W29</f>
        <v>0</v>
      </c>
      <c r="Q28" s="36">
        <f>+'Anne-7'!L29+'Anne-8'!L29</f>
        <v>0</v>
      </c>
      <c r="R28" s="36"/>
      <c r="S28" s="36"/>
      <c r="T28" s="36">
        <f t="shared" si="1"/>
        <v>0</v>
      </c>
      <c r="U28" s="36">
        <f t="shared" si="0"/>
        <v>0</v>
      </c>
      <c r="V28" s="140"/>
      <c r="W28" s="57" t="e">
        <f t="shared" si="4"/>
        <v>#DIV/0!</v>
      </c>
      <c r="X28" s="59"/>
      <c r="Y28" s="36">
        <f t="shared" si="2"/>
        <v>10343.282184896105</v>
      </c>
      <c r="Z28" s="58">
        <v>2933.526678206477</v>
      </c>
      <c r="AA28" s="58">
        <v>7409.7555066896275</v>
      </c>
      <c r="AC28" s="74">
        <v>2819.999999999998</v>
      </c>
      <c r="AD28" s="74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6">
        <v>3</v>
      </c>
      <c r="D29" s="36">
        <f>'Anne-6'!D30+'Anne-7'!F30+'Anne-8'!D30</f>
        <v>11249886</v>
      </c>
      <c r="E29" s="56"/>
      <c r="F29" s="36">
        <f t="shared" si="3"/>
        <v>11249886</v>
      </c>
      <c r="G29" s="85">
        <f>'Anne-6'!G30+'Anne-8'!H30</f>
        <v>14991193</v>
      </c>
      <c r="H29" s="8">
        <f>'Anne-6'!S30+'Anne-7'!I30+'Anne-8'!I30</f>
        <v>9688926</v>
      </c>
      <c r="I29" s="85">
        <f>'Anne-6'!I30+'Anne-8'!M30</f>
        <v>14526596</v>
      </c>
      <c r="J29" s="36"/>
      <c r="K29" s="36"/>
      <c r="L29" s="8">
        <f>'Anne-8'!J30+'Anne-7'!J30</f>
        <v>4155152</v>
      </c>
      <c r="M29" s="36">
        <f>'Anne-6'!N30</f>
        <v>6978230</v>
      </c>
      <c r="N29" s="36">
        <f>'Anne-6'!K30</f>
        <v>3589906</v>
      </c>
      <c r="O29" s="36">
        <f>'Anne-6'!V30</f>
        <v>7262667</v>
      </c>
      <c r="P29" s="36">
        <f>'Anne-6'!W30</f>
        <v>14635</v>
      </c>
      <c r="Q29" s="36">
        <f>+'Anne-7'!L30+'Anne-8'!L30</f>
        <v>581226</v>
      </c>
      <c r="R29" s="36"/>
      <c r="S29" s="36"/>
      <c r="T29" s="36">
        <f t="shared" si="1"/>
        <v>61788531</v>
      </c>
      <c r="U29" s="36">
        <f t="shared" si="0"/>
        <v>73038417</v>
      </c>
      <c r="V29" s="140">
        <f aca="true" t="shared" si="6" ref="V29:V37">D29/U29*100</f>
        <v>15.40269691222908</v>
      </c>
      <c r="W29" s="57">
        <f t="shared" si="4"/>
        <v>0.5282387454606523</v>
      </c>
      <c r="X29" s="59">
        <f t="shared" si="5"/>
        <v>138267.81474786863</v>
      </c>
      <c r="Y29" s="36">
        <f t="shared" si="2"/>
        <v>138267.81474786863</v>
      </c>
      <c r="Z29" s="60">
        <v>23438.958930533994</v>
      </c>
      <c r="AA29" s="60">
        <v>114828.85581733464</v>
      </c>
      <c r="AB29" s="24"/>
      <c r="AC29" s="74">
        <v>44060.00000000003</v>
      </c>
      <c r="AD29" s="74">
        <v>156704</v>
      </c>
      <c r="AE29" s="74">
        <f>Z29/(Z29+Z30)*AC29</f>
        <v>22860.453294800962</v>
      </c>
      <c r="AF29">
        <f>AA29/(AA29+AA30)*AD29</f>
        <v>113044.14559246821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6">
        <v>5</v>
      </c>
      <c r="D30" s="36">
        <f>'Anne-6'!D31+'Anne-7'!F31+'Anne-8'!D31</f>
        <v>5663904</v>
      </c>
      <c r="E30" s="56"/>
      <c r="F30" s="36">
        <f t="shared" si="3"/>
        <v>5663904</v>
      </c>
      <c r="G30" s="85">
        <f>'Anne-6'!G31+'Anne-8'!H31</f>
        <v>6437709</v>
      </c>
      <c r="H30" s="85">
        <f>'Anne-6'!S31+'Anne-7'!I31+'Anne-8'!I31</f>
        <v>6652834</v>
      </c>
      <c r="I30" s="85">
        <f>'Anne-6'!I31+'Anne-8'!M31</f>
        <v>8999073</v>
      </c>
      <c r="J30" s="36"/>
      <c r="K30" s="36"/>
      <c r="L30" s="8">
        <f>'Anne-8'!J31+'Anne-7'!J31</f>
        <v>4034782</v>
      </c>
      <c r="M30" s="85">
        <f>'Anne-6'!N31</f>
        <v>10189727</v>
      </c>
      <c r="N30" s="36">
        <f>'Anne-6'!K31</f>
        <v>1509375</v>
      </c>
      <c r="O30" s="36">
        <f>'Anne-6'!V31</f>
        <v>5001245</v>
      </c>
      <c r="P30" s="36">
        <f>'Anne-6'!W31</f>
        <v>5343</v>
      </c>
      <c r="Q30" s="36">
        <f>+'Anne-7'!L31+'Anne-8'!L31</f>
        <v>617722</v>
      </c>
      <c r="R30" s="36"/>
      <c r="S30" s="36"/>
      <c r="T30" s="36">
        <f t="shared" si="1"/>
        <v>43447810</v>
      </c>
      <c r="U30" s="36">
        <f t="shared" si="0"/>
        <v>49111714</v>
      </c>
      <c r="V30" s="140">
        <f t="shared" si="6"/>
        <v>11.532694623527087</v>
      </c>
      <c r="W30" s="57">
        <f t="shared" si="4"/>
        <v>0.6425842114886671</v>
      </c>
      <c r="X30" s="59">
        <f>Y30+Y28</f>
        <v>76428.44801029812</v>
      </c>
      <c r="Y30" s="36">
        <f>Z30+AA30</f>
        <v>66085.16582540201</v>
      </c>
      <c r="Z30" s="60">
        <v>21736.02151109159</v>
      </c>
      <c r="AA30" s="60">
        <v>44349.14431431042</v>
      </c>
      <c r="AB30" s="74"/>
      <c r="AC30" s="74">
        <v>10554.608454484804</v>
      </c>
      <c r="AD30" s="74">
        <v>64539.00000000003</v>
      </c>
      <c r="AE30" s="84">
        <f>AC29-AE29</f>
        <v>21199.546705199067</v>
      </c>
      <c r="AF30" s="74">
        <f>AD29-AF29</f>
        <v>43659.85440753179</v>
      </c>
      <c r="AG30" s="74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6">
        <v>4</v>
      </c>
      <c r="D31" s="36">
        <f>'Anne-6'!D32+'Anne-7'!F32+'Anne-8'!D32</f>
        <v>4207253</v>
      </c>
      <c r="E31" s="56"/>
      <c r="F31" s="36">
        <f t="shared" si="3"/>
        <v>4207253</v>
      </c>
      <c r="G31" s="85">
        <f>'Anne-6'!G32+'Anne-8'!H32</f>
        <v>8726562</v>
      </c>
      <c r="H31" s="85">
        <f>'Anne-6'!S32+'Anne-7'!I32+'Anne-8'!I32</f>
        <v>6701429</v>
      </c>
      <c r="I31" s="85">
        <f>'Anne-6'!I32+'Anne-8'!M32</f>
        <v>11165667</v>
      </c>
      <c r="J31" s="36">
        <f>I31-D31</f>
        <v>6958414</v>
      </c>
      <c r="K31" s="106">
        <f>J31/D31</f>
        <v>1.653909094604009</v>
      </c>
      <c r="L31" s="8">
        <f>'Anne-8'!J32+'Anne-7'!J32</f>
        <v>2146747</v>
      </c>
      <c r="M31" s="36">
        <f>'Anne-6'!N32</f>
        <v>2203390</v>
      </c>
      <c r="N31" s="36">
        <f>'Anne-6'!K32</f>
        <v>2982409</v>
      </c>
      <c r="O31" s="36">
        <f>'Anne-6'!V32</f>
        <v>3570869</v>
      </c>
      <c r="P31" s="36">
        <f>'Anne-6'!W32</f>
        <v>16506</v>
      </c>
      <c r="Q31" s="36">
        <f>+'Anne-7'!L32+'Anne-8'!L32</f>
        <v>1949509</v>
      </c>
      <c r="R31" s="36"/>
      <c r="S31" s="36"/>
      <c r="T31" s="36">
        <f t="shared" si="1"/>
        <v>39463088</v>
      </c>
      <c r="U31" s="36">
        <f t="shared" si="0"/>
        <v>43670341</v>
      </c>
      <c r="V31" s="140">
        <f t="shared" si="6"/>
        <v>9.634119870966888</v>
      </c>
      <c r="W31" s="57">
        <f t="shared" si="4"/>
        <v>0.5594176068897859</v>
      </c>
      <c r="X31" s="59">
        <f>Y31+Y8</f>
        <v>78063.9373200918</v>
      </c>
      <c r="Y31" s="36">
        <f t="shared" si="2"/>
        <v>77683.30529642198</v>
      </c>
      <c r="Z31" s="58">
        <v>10918.597304468354</v>
      </c>
      <c r="AA31" s="58">
        <v>66764.70799195363</v>
      </c>
      <c r="AC31" s="74">
        <v>15017.39154551519</v>
      </c>
      <c r="AD31" s="74">
        <v>0</v>
      </c>
      <c r="AO31">
        <v>0</v>
      </c>
    </row>
    <row r="32" spans="1:41" ht="15">
      <c r="A32" s="5">
        <v>25</v>
      </c>
      <c r="B32" s="6" t="s">
        <v>45</v>
      </c>
      <c r="C32" s="86">
        <v>4</v>
      </c>
      <c r="D32" s="36">
        <f>'Anne-6'!D33+'Anne-7'!F33+'Anne-8'!D33</f>
        <v>3253887</v>
      </c>
      <c r="E32" s="56"/>
      <c r="F32" s="36">
        <f t="shared" si="3"/>
        <v>3253887</v>
      </c>
      <c r="G32" s="85">
        <f>'Anne-6'!G33+'Anne-8'!H33</f>
        <v>3673424</v>
      </c>
      <c r="H32" s="85">
        <f>'Anne-6'!S33+'Anne-7'!I33+'Anne-8'!I33</f>
        <v>4234313</v>
      </c>
      <c r="I32" s="85">
        <f>'Anne-6'!I33+'Anne-8'!M33</f>
        <v>4085514</v>
      </c>
      <c r="J32" s="36"/>
      <c r="K32" s="36"/>
      <c r="L32" s="8">
        <f>'Anne-8'!J33+'Anne-7'!J33</f>
        <v>2840995</v>
      </c>
      <c r="M32" s="36">
        <f>'Anne-6'!N33</f>
        <v>1153806</v>
      </c>
      <c r="N32" s="36">
        <f>'Anne-6'!K33</f>
        <v>1858443</v>
      </c>
      <c r="O32" s="36">
        <f>'Anne-6'!V33</f>
        <v>1774330</v>
      </c>
      <c r="P32" s="36">
        <f>'Anne-6'!W33</f>
        <v>12</v>
      </c>
      <c r="Q32" s="36">
        <f>+'Anne-7'!L33+'Anne-8'!L33</f>
        <v>887156</v>
      </c>
      <c r="R32" s="36"/>
      <c r="S32" s="36"/>
      <c r="T32" s="36">
        <f t="shared" si="1"/>
        <v>20507993</v>
      </c>
      <c r="U32" s="36">
        <f t="shared" si="0"/>
        <v>23761880</v>
      </c>
      <c r="V32" s="140">
        <f t="shared" si="6"/>
        <v>13.693727095667516</v>
      </c>
      <c r="W32" s="57">
        <f t="shared" si="4"/>
        <v>1.5295116292077962</v>
      </c>
      <c r="X32" s="59">
        <f t="shared" si="5"/>
        <v>15535.599433335045</v>
      </c>
      <c r="Y32" s="36">
        <f t="shared" si="2"/>
        <v>15535.599433335045</v>
      </c>
      <c r="Z32" s="58">
        <v>15535.599433335045</v>
      </c>
      <c r="AA32" s="58">
        <v>0</v>
      </c>
      <c r="AC32" s="74">
        <v>8783.677377314893</v>
      </c>
      <c r="AD32" s="74">
        <v>0</v>
      </c>
      <c r="AG32" s="84">
        <f>AC32+AG27</f>
        <v>9683.999528617296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6">
        <v>3</v>
      </c>
      <c r="D33" s="36">
        <f>'Anne-6'!D34+'Anne-7'!F34+'Anne-8'!D34</f>
        <v>2409324</v>
      </c>
      <c r="E33" s="56"/>
      <c r="F33" s="36">
        <f t="shared" si="3"/>
        <v>2409324</v>
      </c>
      <c r="G33" s="85">
        <f>'Anne-6'!G34+'Anne-8'!H34</f>
        <v>3969426</v>
      </c>
      <c r="H33" s="36">
        <f>'Anne-6'!S34+'Anne-7'!I34+'Anne-8'!I34</f>
        <v>945464</v>
      </c>
      <c r="I33" s="36">
        <f>'Anne-6'!I34+'Anne-8'!M34</f>
        <v>2091411</v>
      </c>
      <c r="J33" s="36">
        <f>G33-D33</f>
        <v>1560102</v>
      </c>
      <c r="K33" s="106">
        <f>J33/D33</f>
        <v>0.6475268581560637</v>
      </c>
      <c r="L33" s="8">
        <f>'Anne-8'!J34+'Anne-7'!J34</f>
        <v>1423820</v>
      </c>
      <c r="M33" s="36">
        <f>'Anne-6'!N34</f>
        <v>0</v>
      </c>
      <c r="N33" s="85">
        <f>'Anne-6'!K34</f>
        <v>3775087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12205208</v>
      </c>
      <c r="U33" s="36">
        <f t="shared" si="0"/>
        <v>14614532</v>
      </c>
      <c r="V33" s="140">
        <f t="shared" si="6"/>
        <v>16.485810151156397</v>
      </c>
      <c r="W33" s="57">
        <f t="shared" si="4"/>
        <v>1.229910430219812</v>
      </c>
      <c r="X33" s="59">
        <f t="shared" si="5"/>
        <v>11882.598635567358</v>
      </c>
      <c r="Y33" s="36">
        <f t="shared" si="2"/>
        <v>11882.598635567358</v>
      </c>
      <c r="Z33" s="58">
        <v>11882.598635567358</v>
      </c>
      <c r="AA33" s="61">
        <v>0</v>
      </c>
      <c r="AC33" s="74"/>
      <c r="AD33" s="74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120963451</v>
      </c>
      <c r="E34" s="8">
        <f t="shared" si="7"/>
        <v>0</v>
      </c>
      <c r="F34" s="8">
        <f t="shared" si="7"/>
        <v>120963451</v>
      </c>
      <c r="G34" s="8">
        <f t="shared" si="7"/>
        <v>171260262</v>
      </c>
      <c r="H34" s="8">
        <f t="shared" si="7"/>
        <v>105958197</v>
      </c>
      <c r="I34" s="8">
        <f t="shared" si="7"/>
        <v>132881367</v>
      </c>
      <c r="J34" s="8">
        <f t="shared" si="7"/>
        <v>58040522</v>
      </c>
      <c r="K34" s="8">
        <f t="shared" si="7"/>
        <v>9.38984205192288</v>
      </c>
      <c r="L34" s="8">
        <f t="shared" si="7"/>
        <v>63172716</v>
      </c>
      <c r="M34" s="8">
        <f t="shared" si="7"/>
        <v>106492157</v>
      </c>
      <c r="N34" s="8">
        <f t="shared" si="7"/>
        <v>59004470</v>
      </c>
      <c r="O34" s="8">
        <f t="shared" si="7"/>
        <v>39678780</v>
      </c>
      <c r="P34" s="8">
        <f t="shared" si="7"/>
        <v>3215161</v>
      </c>
      <c r="Q34" s="36">
        <f>SUM(Q8:Q33)</f>
        <v>13507285</v>
      </c>
      <c r="R34" s="36">
        <f t="shared" si="7"/>
        <v>1880473</v>
      </c>
      <c r="S34" s="36"/>
      <c r="T34" s="36">
        <f t="shared" si="1"/>
        <v>697050868</v>
      </c>
      <c r="U34" s="36">
        <f t="shared" si="7"/>
        <v>818014319</v>
      </c>
      <c r="V34" s="140">
        <f t="shared" si="6"/>
        <v>14.787449093540866</v>
      </c>
      <c r="W34" s="92">
        <f t="shared" si="4"/>
        <v>0.6854879042546593</v>
      </c>
      <c r="X34" s="36">
        <f>SUM(X8:X33)</f>
        <v>1193331.5145647079</v>
      </c>
      <c r="Y34" s="36">
        <f>SUM(Y8:Y33)</f>
        <v>1193331.5145647079</v>
      </c>
      <c r="Z34" s="62">
        <f>SUM(Z8:Z33)</f>
        <v>330471.0414910512</v>
      </c>
      <c r="AA34" s="62">
        <f>SUM(AA8:AA33)</f>
        <v>862860.4730736567</v>
      </c>
      <c r="AC34" s="62">
        <f>SUM(AC8:AC33)</f>
        <v>319433.4547131093</v>
      </c>
      <c r="AD34" s="62">
        <f>SUM(AD8:AD33)</f>
        <v>833716.9999999999</v>
      </c>
      <c r="AG34" s="84"/>
    </row>
    <row r="35" spans="1:30" ht="14.25">
      <c r="A35" s="4">
        <v>27</v>
      </c>
      <c r="B35" s="3" t="s">
        <v>48</v>
      </c>
      <c r="C35" s="3"/>
      <c r="D35" s="56"/>
      <c r="E35" s="97">
        <f>'Anne-6'!E36+'Anne-7'!G36+'Anne-8'!E36</f>
        <v>4174392</v>
      </c>
      <c r="F35" s="36">
        <f t="shared" si="3"/>
        <v>4174392</v>
      </c>
      <c r="G35" s="8">
        <f>'Anne-6'!G36+'Anne-8'!H36</f>
        <v>10109922</v>
      </c>
      <c r="H35" s="36">
        <f>'Anne-6'!S36+'Anne-7'!I36+'Anne-8'!I36</f>
        <v>7611058</v>
      </c>
      <c r="I35" s="36">
        <f>'Anne-6'!I36+'Anne-8'!M36</f>
        <v>8456650</v>
      </c>
      <c r="J35" s="36"/>
      <c r="K35" s="36"/>
      <c r="L35" s="8">
        <f>'Anne-8'!J36+'Anne-7'!J36</f>
        <v>3844079</v>
      </c>
      <c r="M35" s="36">
        <f>'Anne-6'!N36</f>
        <v>4650742</v>
      </c>
      <c r="N35" s="36">
        <f>'Anne-6'!K36</f>
        <v>2951145</v>
      </c>
      <c r="O35" s="36">
        <f>'Anne-6'!V36</f>
        <v>0</v>
      </c>
      <c r="P35" s="36">
        <f>'Anne-6'!W36</f>
        <v>0</v>
      </c>
      <c r="Q35" s="36">
        <f>+'Anne-7'!L36+'Anne-8'!L36</f>
        <v>962588</v>
      </c>
      <c r="R35" s="36"/>
      <c r="S35" s="36"/>
      <c r="T35" s="36">
        <f t="shared" si="1"/>
        <v>38586184</v>
      </c>
      <c r="U35" s="36">
        <f>F35+T35</f>
        <v>42760576</v>
      </c>
      <c r="V35" s="140">
        <f t="shared" si="6"/>
        <v>0</v>
      </c>
      <c r="W35" s="57">
        <f t="shared" si="4"/>
        <v>2.489295732138156</v>
      </c>
      <c r="X35" s="59">
        <f t="shared" si="5"/>
        <v>17177.780626037234</v>
      </c>
      <c r="Y35" s="36">
        <f t="shared" si="2"/>
        <v>17177.780626037234</v>
      </c>
      <c r="Z35" s="63">
        <v>16392.95221198112</v>
      </c>
      <c r="AA35" s="63">
        <v>784.8284140561169</v>
      </c>
      <c r="AC35" s="74">
        <v>17607.999999999985</v>
      </c>
      <c r="AD35" s="74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7">
        <f>'Anne-6'!E37+'Anne-7'!G37+'Anne-8'!E37</f>
        <v>4582102</v>
      </c>
      <c r="F36" s="36">
        <f t="shared" si="3"/>
        <v>4582102</v>
      </c>
      <c r="G36" s="8">
        <f>'Anne-6'!G37+'Anne-8'!H37</f>
        <v>3815083</v>
      </c>
      <c r="H36" s="36">
        <f>'Anne-6'!S37+'Anne-7'!I37+'Anne-8'!I37</f>
        <v>6217753</v>
      </c>
      <c r="I36" s="36">
        <f>'Anne-6'!I37+'Anne-8'!M37</f>
        <v>6166893</v>
      </c>
      <c r="J36" s="36"/>
      <c r="K36" s="36"/>
      <c r="L36" s="8">
        <f>'Anne-8'!J37+'Anne-7'!J37</f>
        <v>4031160</v>
      </c>
      <c r="M36" s="36">
        <f>'Anne-6'!N37</f>
        <v>2803928</v>
      </c>
      <c r="N36" s="36">
        <f>'Anne-6'!K37</f>
        <v>1391669</v>
      </c>
      <c r="O36" s="36">
        <f>'Anne-6'!V37</f>
        <v>1841764</v>
      </c>
      <c r="P36" s="36">
        <f>'Anne-6'!W37</f>
        <v>425151</v>
      </c>
      <c r="Q36" s="36">
        <f>+'Anne-7'!L37+'Anne-8'!L37</f>
        <v>459822</v>
      </c>
      <c r="R36" s="36"/>
      <c r="S36" s="36">
        <f>'Anne-6'!X37</f>
        <v>3028539</v>
      </c>
      <c r="T36" s="36">
        <f>G36+H36+L36+I36+M36+N36+S36+R36+Q36+O36+P36</f>
        <v>30181762</v>
      </c>
      <c r="U36" s="36">
        <f>F36+T36</f>
        <v>34763864</v>
      </c>
      <c r="V36" s="140">
        <f t="shared" si="6"/>
        <v>0</v>
      </c>
      <c r="W36" s="57">
        <f t="shared" si="4"/>
        <v>1.4430772587861191</v>
      </c>
      <c r="X36" s="59">
        <f t="shared" si="5"/>
        <v>24090.092050402418</v>
      </c>
      <c r="Y36" s="36">
        <f>Z36+AA36</f>
        <v>24090.092050402418</v>
      </c>
      <c r="Z36" s="63">
        <v>24090.092050402418</v>
      </c>
      <c r="AA36" s="63">
        <v>0</v>
      </c>
      <c r="AC36" s="74">
        <v>20904.545286890716</v>
      </c>
      <c r="AD36" s="74">
        <v>0</v>
      </c>
    </row>
    <row r="37" spans="1:31" ht="15">
      <c r="A37" s="4"/>
      <c r="B37" s="3" t="s">
        <v>50</v>
      </c>
      <c r="C37" s="76">
        <v>3</v>
      </c>
      <c r="D37" s="36">
        <f aca="true" t="shared" si="8" ref="D37:U37">SUM(D34:D36)</f>
        <v>120963451</v>
      </c>
      <c r="E37" s="36">
        <f t="shared" si="8"/>
        <v>8756494</v>
      </c>
      <c r="F37" s="36">
        <f t="shared" si="8"/>
        <v>129719945</v>
      </c>
      <c r="G37" s="36">
        <f t="shared" si="8"/>
        <v>185185267</v>
      </c>
      <c r="H37" s="36">
        <f t="shared" si="8"/>
        <v>119787008</v>
      </c>
      <c r="I37" s="36">
        <f t="shared" si="8"/>
        <v>147504910</v>
      </c>
      <c r="J37" s="36">
        <f t="shared" si="8"/>
        <v>58040522</v>
      </c>
      <c r="K37" s="36">
        <f t="shared" si="8"/>
        <v>9.38984205192288</v>
      </c>
      <c r="L37" s="36">
        <f t="shared" si="8"/>
        <v>71047955</v>
      </c>
      <c r="M37" s="36">
        <f t="shared" si="8"/>
        <v>113946827</v>
      </c>
      <c r="N37" s="36">
        <f t="shared" si="8"/>
        <v>63347284</v>
      </c>
      <c r="O37" s="36">
        <f t="shared" si="8"/>
        <v>41520544</v>
      </c>
      <c r="P37" s="36">
        <f t="shared" si="8"/>
        <v>3640312</v>
      </c>
      <c r="Q37" s="8">
        <f>SUM(Q34:Q36)</f>
        <v>14929695</v>
      </c>
      <c r="R37" s="8">
        <f t="shared" si="8"/>
        <v>1880473</v>
      </c>
      <c r="S37" s="8">
        <f>SUM(S34:S36)</f>
        <v>3028539</v>
      </c>
      <c r="T37" s="36">
        <f t="shared" si="1"/>
        <v>765818814</v>
      </c>
      <c r="U37" s="36">
        <f t="shared" si="8"/>
        <v>895538759</v>
      </c>
      <c r="V37" s="147">
        <f t="shared" si="6"/>
        <v>13.507338435588581</v>
      </c>
      <c r="W37" s="57">
        <f t="shared" si="4"/>
        <v>0.7253678952499588</v>
      </c>
      <c r="X37" s="36">
        <f>SUM(X34:X36)</f>
        <v>1234599.3872411475</v>
      </c>
      <c r="Y37" s="36">
        <f t="shared" si="2"/>
        <v>1234599.3872411475</v>
      </c>
      <c r="Z37" s="62">
        <f>Z34+Z35+Z36</f>
        <v>370954.08575343475</v>
      </c>
      <c r="AA37" s="62">
        <f>AA34+AA35+AA36</f>
        <v>863645.3014877128</v>
      </c>
      <c r="AC37" s="62">
        <f>AC34+AC35+AC36</f>
        <v>357946</v>
      </c>
      <c r="AD37" s="62">
        <f>AD34+AD35+AD36</f>
        <v>834559.9999999999</v>
      </c>
      <c r="AE37" s="82">
        <f>AC37+AD37</f>
        <v>1192506</v>
      </c>
    </row>
    <row r="38" spans="1:27" ht="14.25">
      <c r="A38" s="108" t="s">
        <v>51</v>
      </c>
      <c r="B38" s="110"/>
      <c r="C38" s="3"/>
      <c r="D38" s="149">
        <f>D37/U37*100</f>
        <v>13.507338435588581</v>
      </c>
      <c r="E38" s="149">
        <f>E37/U37*100</f>
        <v>0.9777906217903852</v>
      </c>
      <c r="F38" s="149">
        <f>F37/U37</f>
        <v>0.14485129057378968</v>
      </c>
      <c r="G38" s="149">
        <f>G37/U37*100</f>
        <v>20.678643457798124</v>
      </c>
      <c r="H38" s="149">
        <f>H37/U37*100</f>
        <v>13.375971368761272</v>
      </c>
      <c r="I38" s="149">
        <f>I37/U37*100</f>
        <v>16.471080510765475</v>
      </c>
      <c r="J38" s="149"/>
      <c r="K38" s="149"/>
      <c r="L38" s="149">
        <f>L37/U37*100</f>
        <v>7.933543276154283</v>
      </c>
      <c r="M38" s="149">
        <f>M37/U37*100</f>
        <v>12.723829745486203</v>
      </c>
      <c r="N38" s="149">
        <f>N37/U37*100</f>
        <v>7.0736507340828565</v>
      </c>
      <c r="O38" s="149">
        <f>O37/U37*100</f>
        <v>4.636375989618111</v>
      </c>
      <c r="P38" s="149">
        <f>P37/U37*100</f>
        <v>0.406494075595895</v>
      </c>
      <c r="Q38" s="149">
        <f>Q37/U37*100</f>
        <v>1.6671187985957399</v>
      </c>
      <c r="R38" s="149">
        <f>R37/U37*100</f>
        <v>0.20998231300450057</v>
      </c>
      <c r="S38" s="149">
        <f>S37/U37*100</f>
        <v>0.3381806727585757</v>
      </c>
      <c r="T38" s="149">
        <f>T37/U37*100</f>
        <v>85.51487094262103</v>
      </c>
      <c r="U38" s="149">
        <f>U37/U37*100</f>
        <v>100</v>
      </c>
      <c r="V38" s="96"/>
      <c r="Z38" s="24"/>
      <c r="AA38" s="24"/>
    </row>
    <row r="39" spans="1:31" ht="15" thickBot="1">
      <c r="A39" s="102"/>
      <c r="B39" s="78"/>
      <c r="C39" s="102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78"/>
      <c r="Z39" s="24"/>
      <c r="AA39" s="24"/>
      <c r="AE39" s="82"/>
    </row>
    <row r="40" spans="1:31" ht="15">
      <c r="A40" s="124" t="s">
        <v>228</v>
      </c>
      <c r="B40" s="125"/>
      <c r="C40" s="134">
        <v>4</v>
      </c>
      <c r="D40" s="130">
        <v>121044765</v>
      </c>
      <c r="E40" s="121">
        <v>8760100</v>
      </c>
      <c r="F40" s="121">
        <v>129804865</v>
      </c>
      <c r="G40" s="121">
        <v>186887904</v>
      </c>
      <c r="H40" s="121">
        <v>135371813</v>
      </c>
      <c r="I40" s="121">
        <v>150791335</v>
      </c>
      <c r="J40" s="121">
        <v>60965709</v>
      </c>
      <c r="K40" s="121">
        <v>9.871004987435281</v>
      </c>
      <c r="L40" s="121">
        <v>73997913</v>
      </c>
      <c r="M40" s="121">
        <v>114144058</v>
      </c>
      <c r="N40" s="121">
        <v>65323317</v>
      </c>
      <c r="O40" s="121">
        <v>40601992</v>
      </c>
      <c r="P40" s="121">
        <v>4012265</v>
      </c>
      <c r="Q40" s="121">
        <v>15718115</v>
      </c>
      <c r="R40" s="121">
        <v>1818195</v>
      </c>
      <c r="S40" s="121">
        <v>3028539</v>
      </c>
      <c r="T40" s="121">
        <v>791695446</v>
      </c>
      <c r="U40" s="121">
        <v>921500311</v>
      </c>
      <c r="V40" s="148">
        <f>D40/U40*100</f>
        <v>13.13561846426767</v>
      </c>
      <c r="W40" s="93"/>
      <c r="Y40" s="82"/>
      <c r="Z40" s="24"/>
      <c r="AA40" s="24"/>
      <c r="AE40" s="82"/>
    </row>
    <row r="41" spans="1:27" ht="15.75" thickBot="1">
      <c r="A41" s="126" t="s">
        <v>229</v>
      </c>
      <c r="B41" s="123"/>
      <c r="C41" s="4">
        <v>4</v>
      </c>
      <c r="D41" s="122">
        <f>D37-D40</f>
        <v>-81314</v>
      </c>
      <c r="E41" s="122">
        <f aca="true" t="shared" si="9" ref="E41:R41">E37-E40</f>
        <v>-3606</v>
      </c>
      <c r="F41" s="122">
        <f t="shared" si="9"/>
        <v>-84920</v>
      </c>
      <c r="G41" s="122">
        <f t="shared" si="9"/>
        <v>-1702637</v>
      </c>
      <c r="H41" s="122">
        <f t="shared" si="9"/>
        <v>-15584805</v>
      </c>
      <c r="I41" s="122">
        <f t="shared" si="9"/>
        <v>-3286425</v>
      </c>
      <c r="J41" s="122">
        <f t="shared" si="9"/>
        <v>-2925187</v>
      </c>
      <c r="K41" s="122">
        <f t="shared" si="9"/>
        <v>-0.4811629355124012</v>
      </c>
      <c r="L41" s="122">
        <f t="shared" si="9"/>
        <v>-2949958</v>
      </c>
      <c r="M41" s="122">
        <f t="shared" si="9"/>
        <v>-197231</v>
      </c>
      <c r="N41" s="122">
        <f t="shared" si="9"/>
        <v>-1976033</v>
      </c>
      <c r="O41" s="122">
        <f>O37-O40</f>
        <v>918552</v>
      </c>
      <c r="P41" s="122">
        <f>P37-P40</f>
        <v>-371953</v>
      </c>
      <c r="Q41" s="122">
        <f>Q37-Q40</f>
        <v>-788420</v>
      </c>
      <c r="R41" s="122">
        <f t="shared" si="9"/>
        <v>62278</v>
      </c>
      <c r="S41" s="122">
        <f>S37-S40</f>
        <v>0</v>
      </c>
      <c r="T41" s="122">
        <f>T37-T40</f>
        <v>-25876632</v>
      </c>
      <c r="U41" s="122">
        <f>U37-U40</f>
        <v>-25961552</v>
      </c>
      <c r="V41" s="424" t="s">
        <v>130</v>
      </c>
      <c r="W41" s="93"/>
      <c r="X41" s="93">
        <f>V40-V37</f>
        <v>-0.3717199713209105</v>
      </c>
      <c r="Z41" s="24"/>
      <c r="AA41" s="24"/>
    </row>
    <row r="42" spans="1:24" ht="15">
      <c r="A42" s="124" t="s">
        <v>186</v>
      </c>
      <c r="B42" s="128"/>
      <c r="C42" s="136">
        <v>4</v>
      </c>
      <c r="D42" s="132">
        <v>120980720</v>
      </c>
      <c r="E42" s="133">
        <v>9299537</v>
      </c>
      <c r="F42" s="133">
        <v>130280257</v>
      </c>
      <c r="G42" s="133">
        <v>184549245</v>
      </c>
      <c r="H42" s="133">
        <v>154315442</v>
      </c>
      <c r="I42" s="133">
        <f>150465330+17850</f>
        <v>150483180</v>
      </c>
      <c r="J42" s="133">
        <v>58223473</v>
      </c>
      <c r="K42" s="133">
        <v>9.318547005735773</v>
      </c>
      <c r="L42" s="133">
        <v>83187167</v>
      </c>
      <c r="M42" s="133">
        <v>112722692</v>
      </c>
      <c r="N42" s="133">
        <v>62572579</v>
      </c>
      <c r="O42" s="133">
        <v>42431924</v>
      </c>
      <c r="P42" s="133">
        <v>5951588</v>
      </c>
      <c r="Q42" s="133">
        <v>15849698</v>
      </c>
      <c r="R42" s="133">
        <v>1531824</v>
      </c>
      <c r="S42" s="133">
        <v>3267241</v>
      </c>
      <c r="T42" s="133">
        <v>814323430</v>
      </c>
      <c r="U42" s="133">
        <v>952247948</v>
      </c>
      <c r="V42" s="148">
        <f>D42/U42*100</f>
        <v>12.70474987676214</v>
      </c>
      <c r="W42" s="93"/>
      <c r="X42" s="93">
        <f>V42-V37</f>
        <v>-0.8025885588264412</v>
      </c>
    </row>
    <row r="43" spans="1:23" ht="16.5" thickBot="1">
      <c r="A43" s="127" t="s">
        <v>193</v>
      </c>
      <c r="B43" s="129"/>
      <c r="C43" s="135">
        <v>5</v>
      </c>
      <c r="D43" s="131">
        <f aca="true" t="shared" si="10" ref="D43:U43">D37-D42</f>
        <v>-17269</v>
      </c>
      <c r="E43" s="131">
        <f t="shared" si="10"/>
        <v>-543043</v>
      </c>
      <c r="F43" s="131">
        <f t="shared" si="10"/>
        <v>-560312</v>
      </c>
      <c r="G43" s="131">
        <f t="shared" si="10"/>
        <v>636022</v>
      </c>
      <c r="H43" s="131">
        <f t="shared" si="10"/>
        <v>-34528434</v>
      </c>
      <c r="I43" s="131">
        <f t="shared" si="10"/>
        <v>-2978270</v>
      </c>
      <c r="J43" s="131">
        <f t="shared" si="10"/>
        <v>-182951</v>
      </c>
      <c r="K43" s="131">
        <f t="shared" si="10"/>
        <v>0.07129504618710669</v>
      </c>
      <c r="L43" s="131">
        <f t="shared" si="10"/>
        <v>-12139212</v>
      </c>
      <c r="M43" s="131">
        <f t="shared" si="10"/>
        <v>1224135</v>
      </c>
      <c r="N43" s="131">
        <f t="shared" si="10"/>
        <v>774705</v>
      </c>
      <c r="O43" s="131">
        <f t="shared" si="10"/>
        <v>-911380</v>
      </c>
      <c r="P43" s="131">
        <f t="shared" si="10"/>
        <v>-2311276</v>
      </c>
      <c r="Q43" s="131">
        <f t="shared" si="10"/>
        <v>-920003</v>
      </c>
      <c r="R43" s="131">
        <f t="shared" si="10"/>
        <v>348649</v>
      </c>
      <c r="S43" s="131">
        <f t="shared" si="10"/>
        <v>-238702</v>
      </c>
      <c r="T43" s="131">
        <f t="shared" si="10"/>
        <v>-48504616</v>
      </c>
      <c r="U43" s="131">
        <f t="shared" si="10"/>
        <v>-56709189</v>
      </c>
      <c r="V43" s="425" t="s">
        <v>130</v>
      </c>
      <c r="W43" s="93"/>
    </row>
    <row r="44" spans="1:22" ht="15.75" hidden="1">
      <c r="A44" s="169" t="s">
        <v>127</v>
      </c>
      <c r="B44" s="170"/>
      <c r="C44" s="171">
        <v>7</v>
      </c>
      <c r="D44" s="172">
        <f>'Anne-8'!D44</f>
        <v>-1426628</v>
      </c>
      <c r="E44" s="173">
        <f>'Anne-8'!E44</f>
        <v>-1394</v>
      </c>
      <c r="F44" s="173">
        <f>'Anne-8'!F44</f>
        <v>-1428022</v>
      </c>
      <c r="G44" s="173">
        <f>'Anne-8'!G44</f>
        <v>8426</v>
      </c>
      <c r="H44" s="173">
        <f>'Anne-8'!I44</f>
        <v>-11011</v>
      </c>
      <c r="I44" s="174"/>
      <c r="J44" s="174"/>
      <c r="K44" s="174"/>
      <c r="L44" s="173">
        <f>'Anne-8'!J44</f>
        <v>48463</v>
      </c>
      <c r="M44" s="174"/>
      <c r="N44" s="174"/>
      <c r="O44" s="173"/>
      <c r="P44" s="174"/>
      <c r="Q44" s="173">
        <f>'Anne-8'!L44</f>
        <v>3033</v>
      </c>
      <c r="R44" s="173">
        <f>'Anne-8'!K44</f>
        <v>-16609</v>
      </c>
      <c r="S44" s="174"/>
      <c r="T44" s="173">
        <f>'Anne-8'!N44</f>
        <v>43072</v>
      </c>
      <c r="U44" s="173">
        <f>'Anne-8'!O44</f>
        <v>-1367100</v>
      </c>
      <c r="V44" s="175">
        <f>D44/U44</f>
        <v>1.0435432667690732</v>
      </c>
    </row>
    <row r="45" spans="1:25" ht="15">
      <c r="A45" t="str">
        <f>'Anne-5'!A46</f>
        <v>Note: As per TRAI report, M/s Etisalat, S. Tel and Loop (Except for Mumbai Circle) have submitted that there are no active subscribers on their network hence their figures have been taken as Zero.</v>
      </c>
      <c r="B45" s="26"/>
      <c r="C45" s="26"/>
      <c r="U45" s="24"/>
      <c r="Y45" s="93"/>
    </row>
    <row r="46" spans="2:21" ht="15">
      <c r="B46" s="26"/>
      <c r="C46" s="26"/>
      <c r="U46" s="83"/>
    </row>
    <row r="47" ht="12.75">
      <c r="U47" s="298">
        <f>U41/1000000</f>
        <v>-25.961552</v>
      </c>
    </row>
    <row r="48" spans="4:21" ht="12.75">
      <c r="D48" s="390">
        <f>D15/U15*100</f>
        <v>26.382987895408828</v>
      </c>
      <c r="E48" s="390"/>
      <c r="F48" s="390"/>
      <c r="G48" s="390">
        <f>G15/U15*100</f>
        <v>26.830188461284344</v>
      </c>
      <c r="H48" s="390">
        <f>H15/U15*100</f>
        <v>20.297853834557486</v>
      </c>
      <c r="I48" s="390">
        <f>I15/U15*100</f>
        <v>6.696301593278806</v>
      </c>
      <c r="J48" s="390">
        <f>J15/V15*100</f>
        <v>0</v>
      </c>
      <c r="K48" s="390">
        <f>K15/W15*100</f>
        <v>0</v>
      </c>
      <c r="L48" s="390">
        <f>L15/U15*100</f>
        <v>2.795778361291117</v>
      </c>
      <c r="M48" s="390">
        <f>M15/U15*100</f>
        <v>6.303550063035502</v>
      </c>
      <c r="N48" s="390">
        <f>N15/U15*100</f>
        <v>10.062533977818322</v>
      </c>
      <c r="O48" s="390">
        <f>O15/U15*100</f>
        <v>0.0021272456353075442</v>
      </c>
      <c r="P48" s="390">
        <f>P15/U15*100</f>
        <v>0.6276783396101168</v>
      </c>
      <c r="Q48" s="390">
        <f>Q15/U15*100</f>
        <v>0.0010002280801777194</v>
      </c>
      <c r="R48" s="390">
        <f>R15/U15*100</f>
        <v>0</v>
      </c>
      <c r="S48" s="390">
        <f>S15/U15*100</f>
        <v>0</v>
      </c>
      <c r="U48" s="93">
        <f>U37/1000000</f>
        <v>895.538759</v>
      </c>
    </row>
    <row r="49" spans="4:21" ht="12.75">
      <c r="D49" s="82"/>
      <c r="F49" s="82"/>
      <c r="U49" s="82"/>
    </row>
    <row r="50" spans="4:6" ht="12.75">
      <c r="D50" s="82"/>
      <c r="F50" s="82"/>
    </row>
    <row r="51" ht="12.75">
      <c r="F51" s="82"/>
    </row>
    <row r="52" ht="12.75">
      <c r="D52" s="82"/>
    </row>
    <row r="68" ht="12.75">
      <c r="S68" s="84"/>
    </row>
    <row r="69" ht="12.75">
      <c r="S69" s="84"/>
    </row>
    <row r="70" ht="12.75">
      <c r="S70" s="84"/>
    </row>
    <row r="71" ht="12.75">
      <c r="S71" s="84"/>
    </row>
    <row r="72" ht="12.75">
      <c r="S72" s="84"/>
    </row>
    <row r="73" ht="12.75">
      <c r="S73" s="84"/>
    </row>
    <row r="74" ht="12.75">
      <c r="S74" s="84"/>
    </row>
    <row r="75" ht="12.75">
      <c r="S75" s="84"/>
    </row>
    <row r="76" ht="12.75">
      <c r="S76" s="84"/>
    </row>
    <row r="77" ht="12.75">
      <c r="S77" s="84"/>
    </row>
    <row r="78" ht="12.75">
      <c r="S78" s="84"/>
    </row>
    <row r="79" ht="12.75">
      <c r="S79" s="84"/>
    </row>
    <row r="80" spans="19:20" ht="12.75">
      <c r="S80" s="84"/>
      <c r="T80" s="84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60" workbookViewId="0" topLeftCell="A1">
      <pane xSplit="3" ySplit="8" topLeftCell="D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48" sqref="S4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6.140625" style="2" customWidth="1"/>
    <col min="4" max="4" width="11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3" width="11.57421875" style="2" customWidth="1"/>
    <col min="14" max="14" width="10.71093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7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31st January 2013.</v>
      </c>
    </row>
    <row r="4" spans="2:3" ht="15">
      <c r="B4" s="77" t="s">
        <v>230</v>
      </c>
      <c r="C4" s="77"/>
    </row>
    <row r="5" spans="4:17" ht="14.25">
      <c r="D5" s="91">
        <v>1</v>
      </c>
      <c r="E5" s="91">
        <v>2</v>
      </c>
      <c r="F5" s="91"/>
      <c r="G5" s="91">
        <v>3</v>
      </c>
      <c r="H5" s="91">
        <v>4</v>
      </c>
      <c r="I5" s="91">
        <v>5</v>
      </c>
      <c r="J5" s="91">
        <v>6</v>
      </c>
      <c r="K5" s="91">
        <v>7</v>
      </c>
      <c r="L5" s="91">
        <v>8</v>
      </c>
      <c r="M5" s="91">
        <v>9</v>
      </c>
      <c r="N5" s="91">
        <v>10</v>
      </c>
      <c r="O5" s="91">
        <v>11</v>
      </c>
      <c r="P5" s="91">
        <v>12</v>
      </c>
      <c r="Q5" s="91">
        <v>13</v>
      </c>
    </row>
    <row r="6" spans="1:20" ht="15" customHeight="1">
      <c r="A6" s="469" t="s">
        <v>19</v>
      </c>
      <c r="B6" s="469" t="s">
        <v>20</v>
      </c>
      <c r="C6" s="45"/>
      <c r="D6" s="176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33" t="s">
        <v>53</v>
      </c>
      <c r="S6" s="543" t="s">
        <v>70</v>
      </c>
      <c r="T6" s="539" t="s">
        <v>120</v>
      </c>
    </row>
    <row r="7" spans="1:20" ht="15.75" customHeight="1">
      <c r="A7" s="469"/>
      <c r="B7" s="469"/>
      <c r="C7" s="530" t="s">
        <v>118</v>
      </c>
      <c r="D7" s="536" t="s">
        <v>1</v>
      </c>
      <c r="E7" s="535" t="s">
        <v>2</v>
      </c>
      <c r="F7" s="533" t="s">
        <v>52</v>
      </c>
      <c r="G7" s="528" t="s">
        <v>75</v>
      </c>
      <c r="H7" s="528" t="s">
        <v>132</v>
      </c>
      <c r="I7" s="528" t="s">
        <v>110</v>
      </c>
      <c r="J7" s="529" t="s">
        <v>59</v>
      </c>
      <c r="K7" s="528" t="s">
        <v>11</v>
      </c>
      <c r="L7" s="528" t="s">
        <v>10</v>
      </c>
      <c r="M7" s="537" t="s">
        <v>134</v>
      </c>
      <c r="N7" s="537" t="s">
        <v>144</v>
      </c>
      <c r="O7" s="529" t="s">
        <v>190</v>
      </c>
      <c r="P7" s="529" t="s">
        <v>189</v>
      </c>
      <c r="Q7" s="543" t="s">
        <v>188</v>
      </c>
      <c r="R7" s="542"/>
      <c r="S7" s="542"/>
      <c r="T7" s="540"/>
    </row>
    <row r="8" spans="1:20" ht="35.25" customHeight="1">
      <c r="A8" s="469"/>
      <c r="B8" s="469"/>
      <c r="C8" s="531"/>
      <c r="D8" s="536"/>
      <c r="E8" s="535"/>
      <c r="F8" s="534"/>
      <c r="G8" s="527"/>
      <c r="H8" s="538"/>
      <c r="I8" s="527"/>
      <c r="J8" s="529"/>
      <c r="K8" s="527"/>
      <c r="L8" s="527"/>
      <c r="M8" s="535"/>
      <c r="N8" s="535"/>
      <c r="O8" s="529"/>
      <c r="P8" s="529"/>
      <c r="Q8" s="544"/>
      <c r="R8" s="534"/>
      <c r="S8" s="534"/>
      <c r="T8" s="541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'Anne-6'!G9</f>
        <v>0</v>
      </c>
      <c r="H9" s="8">
        <f>'Anne-6'!S9+'Anne-7'!I9</f>
        <v>0</v>
      </c>
      <c r="I9" s="8">
        <f>'Anne-6'!I9</f>
        <v>0</v>
      </c>
      <c r="J9" s="8">
        <f>'Anne-7'!J9</f>
        <v>0</v>
      </c>
      <c r="K9" s="8">
        <f>'Anne-6'!N9</f>
        <v>0</v>
      </c>
      <c r="L9" s="9">
        <f>'Anne-6'!K9</f>
        <v>0</v>
      </c>
      <c r="M9" s="8">
        <f>'Anne-6'!V9</f>
        <v>0</v>
      </c>
      <c r="N9" s="35">
        <f>'Anne-6'!W9</f>
        <v>0</v>
      </c>
      <c r="O9" s="8">
        <f>'Anne-7'!L9</f>
        <v>0</v>
      </c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6">
        <v>3</v>
      </c>
      <c r="D10" s="25">
        <f>'Anne-6'!D10+'Anne-7'!F10</f>
        <v>9219802</v>
      </c>
      <c r="E10" s="8"/>
      <c r="F10" s="8">
        <f>D10+E10</f>
        <v>9219802</v>
      </c>
      <c r="G10" s="10">
        <f>'Anne-6'!G10</f>
        <v>17704841</v>
      </c>
      <c r="H10" s="8">
        <f>'Anne-6'!S10+'Anne-7'!I10</f>
        <v>6809259</v>
      </c>
      <c r="I10" s="8">
        <f>'Anne-6'!I10</f>
        <v>6080916</v>
      </c>
      <c r="J10" s="8">
        <f>'Anne-7'!J10</f>
        <v>6898277</v>
      </c>
      <c r="K10" s="8">
        <f>'Anne-6'!N10</f>
        <v>10632055</v>
      </c>
      <c r="L10" s="9">
        <f>'Anne-6'!K10</f>
        <v>1871685</v>
      </c>
      <c r="M10" s="8">
        <f>'Anne-6'!V10</f>
        <v>4029580</v>
      </c>
      <c r="N10" s="35">
        <f>'Anne-6'!W10</f>
        <v>9763</v>
      </c>
      <c r="O10" s="8">
        <f>'Anne-7'!L10</f>
        <v>679838</v>
      </c>
      <c r="P10" s="8"/>
      <c r="Q10" s="35"/>
      <c r="R10" s="35">
        <f aca="true" t="shared" si="1" ref="R10:R37">G10+H10+I10+J10+K10+L10+Q10+P10+O10+M10+N10</f>
        <v>54716214</v>
      </c>
      <c r="S10" s="36">
        <f t="shared" si="0"/>
        <v>63936016</v>
      </c>
      <c r="T10" s="142">
        <f>D10/S10*100</f>
        <v>14.420357377287942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6">
        <v>5</v>
      </c>
      <c r="D11" s="25">
        <f>'Anne-6'!D11+'Anne-7'!F11</f>
        <v>1228242</v>
      </c>
      <c r="E11" s="8"/>
      <c r="F11" s="8">
        <f aca="true" t="shared" si="2" ref="F11:F37">D11+E11</f>
        <v>1228242</v>
      </c>
      <c r="G11" s="10">
        <f>'Anne-6'!G11</f>
        <v>3826231</v>
      </c>
      <c r="H11" s="8">
        <f>'Anne-6'!S11+'Anne-7'!I11</f>
        <v>3060184</v>
      </c>
      <c r="I11" s="8">
        <f>'Anne-6'!I11</f>
        <v>2188073</v>
      </c>
      <c r="J11" s="8">
        <f>'Anne-7'!J11</f>
        <v>120238</v>
      </c>
      <c r="K11" s="8">
        <f>'Anne-6'!N11</f>
        <v>368973</v>
      </c>
      <c r="L11" s="9">
        <f>'Anne-6'!K11</f>
        <v>3542284</v>
      </c>
      <c r="M11" s="8">
        <f>'Anne-6'!V11</f>
        <v>779</v>
      </c>
      <c r="N11" s="35">
        <f>'Anne-6'!W11</f>
        <v>0</v>
      </c>
      <c r="O11" s="8">
        <f>'Anne-7'!L11</f>
        <v>1280</v>
      </c>
      <c r="P11" s="8"/>
      <c r="Q11" s="35"/>
      <c r="R11" s="35">
        <f t="shared" si="1"/>
        <v>13108042</v>
      </c>
      <c r="S11" s="36">
        <f t="shared" si="0"/>
        <v>14336284</v>
      </c>
      <c r="T11" s="142">
        <f>D11/S11*100</f>
        <v>8.567366550495233</v>
      </c>
      <c r="W11" s="2">
        <v>13.041515395121522</v>
      </c>
    </row>
    <row r="12" spans="1:23" ht="15">
      <c r="A12" s="5">
        <v>4</v>
      </c>
      <c r="B12" s="6" t="s">
        <v>24</v>
      </c>
      <c r="C12" s="86">
        <v>4</v>
      </c>
      <c r="D12" s="25">
        <f>'Anne-6'!D12+'Anne-7'!F12</f>
        <v>6003257</v>
      </c>
      <c r="E12" s="8"/>
      <c r="F12" s="8">
        <f t="shared" si="2"/>
        <v>6003257</v>
      </c>
      <c r="G12" s="10">
        <f>'Anne-6'!G12</f>
        <v>18619726</v>
      </c>
      <c r="H12" s="8">
        <f>'Anne-6'!S12+'Anne-7'!I12</f>
        <v>9215889</v>
      </c>
      <c r="I12" s="8">
        <f>'Anne-6'!I12</f>
        <v>6381278</v>
      </c>
      <c r="J12" s="8">
        <f>'Anne-7'!J12</f>
        <v>3853362</v>
      </c>
      <c r="K12" s="8">
        <f>'Anne-6'!N12</f>
        <v>5459296</v>
      </c>
      <c r="L12" s="9">
        <f>'Anne-6'!K12</f>
        <v>4981643</v>
      </c>
      <c r="M12" s="8">
        <f>'Anne-6'!V12</f>
        <v>5005668</v>
      </c>
      <c r="N12" s="35">
        <f>'Anne-6'!W12</f>
        <v>18598</v>
      </c>
      <c r="O12" s="8">
        <f>'Anne-7'!L12</f>
        <v>1481580</v>
      </c>
      <c r="P12" s="8"/>
      <c r="Q12" s="35"/>
      <c r="R12" s="35">
        <f t="shared" si="1"/>
        <v>55017040</v>
      </c>
      <c r="S12" s="36">
        <f t="shared" si="0"/>
        <v>61020297</v>
      </c>
      <c r="T12" s="142">
        <f>D12/S12*100</f>
        <v>9.838131400769813</v>
      </c>
      <c r="W12" s="2">
        <v>12.823562634511095</v>
      </c>
    </row>
    <row r="13" spans="1:23" ht="15">
      <c r="A13" s="5">
        <v>5</v>
      </c>
      <c r="B13" s="6" t="s">
        <v>25</v>
      </c>
      <c r="C13" s="86"/>
      <c r="D13" s="25">
        <f>'Anne-6'!D13+'Anne-7'!F13</f>
        <v>0</v>
      </c>
      <c r="E13" s="8"/>
      <c r="F13" s="8">
        <f t="shared" si="2"/>
        <v>0</v>
      </c>
      <c r="G13" s="10">
        <f>'Anne-6'!G13</f>
        <v>0</v>
      </c>
      <c r="H13" s="8">
        <f>'Anne-6'!S13+'Anne-7'!I13</f>
        <v>0</v>
      </c>
      <c r="I13" s="8">
        <f>'Anne-6'!I13</f>
        <v>0</v>
      </c>
      <c r="J13" s="8">
        <f>'Anne-7'!J13</f>
        <v>0</v>
      </c>
      <c r="K13" s="8">
        <f>'Anne-6'!N13</f>
        <v>0</v>
      </c>
      <c r="L13" s="9">
        <f>'Anne-6'!K13</f>
        <v>0</v>
      </c>
      <c r="M13" s="8">
        <f>'Anne-6'!V13</f>
        <v>0</v>
      </c>
      <c r="N13" s="35">
        <f>'Anne-6'!W13</f>
        <v>0</v>
      </c>
      <c r="O13" s="8">
        <f>'Anne-7'!L13</f>
        <v>0</v>
      </c>
      <c r="P13" s="8"/>
      <c r="Q13" s="35"/>
      <c r="R13" s="35">
        <f t="shared" si="1"/>
        <v>0</v>
      </c>
      <c r="S13" s="36">
        <f t="shared" si="0"/>
        <v>0</v>
      </c>
      <c r="T13" s="142"/>
      <c r="W13" s="2">
        <v>10.085041212379718</v>
      </c>
    </row>
    <row r="14" spans="1:23" ht="15">
      <c r="A14" s="5">
        <v>6</v>
      </c>
      <c r="B14" s="6" t="s">
        <v>26</v>
      </c>
      <c r="C14" s="86">
        <v>6</v>
      </c>
      <c r="D14" s="25">
        <f>'Anne-6'!D14+'Anne-7'!F14</f>
        <v>4254238</v>
      </c>
      <c r="E14" s="8"/>
      <c r="F14" s="8">
        <f t="shared" si="2"/>
        <v>4254238</v>
      </c>
      <c r="G14" s="10">
        <f>'Anne-6'!G14</f>
        <v>6810708</v>
      </c>
      <c r="H14" s="8">
        <f>'Anne-6'!S14+'Anne-7'!I14</f>
        <v>6719447</v>
      </c>
      <c r="I14" s="8">
        <f>'Anne-6'!I14</f>
        <v>15801116</v>
      </c>
      <c r="J14" s="8">
        <f>'Anne-7'!J14</f>
        <v>3018060</v>
      </c>
      <c r="K14" s="8">
        <f>'Anne-6'!N14</f>
        <v>8018178</v>
      </c>
      <c r="L14" s="9">
        <f>'Anne-6'!K14</f>
        <v>338457</v>
      </c>
      <c r="M14" s="8">
        <f>'Anne-6'!V14</f>
        <v>4430904</v>
      </c>
      <c r="N14" s="35">
        <f>'Anne-6'!W14</f>
        <v>657286</v>
      </c>
      <c r="O14" s="8">
        <f>'Anne-7'!L14</f>
        <v>231729</v>
      </c>
      <c r="P14" s="8"/>
      <c r="Q14" s="35"/>
      <c r="R14" s="35">
        <f t="shared" si="1"/>
        <v>46025885</v>
      </c>
      <c r="S14" s="36">
        <f t="shared" si="0"/>
        <v>50280123</v>
      </c>
      <c r="T14" s="142">
        <f>D14/S14*100</f>
        <v>8.46107317597453</v>
      </c>
      <c r="W14" s="2">
        <v>18.210636334802775</v>
      </c>
    </row>
    <row r="15" spans="1:23" ht="15">
      <c r="A15" s="5">
        <v>7</v>
      </c>
      <c r="B15" s="6" t="s">
        <v>27</v>
      </c>
      <c r="C15" s="86">
        <v>3</v>
      </c>
      <c r="D15" s="25">
        <f>'Anne-6'!D15+'Anne-7'!F15</f>
        <v>3043033</v>
      </c>
      <c r="E15" s="8"/>
      <c r="F15" s="8">
        <f t="shared" si="2"/>
        <v>3043033</v>
      </c>
      <c r="G15" s="10">
        <f>'Anne-6'!G15</f>
        <v>2217759</v>
      </c>
      <c r="H15" s="8">
        <f>'Anne-6'!S15+'Anne-7'!I15</f>
        <v>2121823</v>
      </c>
      <c r="I15" s="8">
        <f>'Anne-6'!I15</f>
        <v>4437015</v>
      </c>
      <c r="J15" s="8">
        <f>'Anne-7'!J15</f>
        <v>2677383</v>
      </c>
      <c r="K15" s="8">
        <f>'Anne-6'!N15</f>
        <v>3533255</v>
      </c>
      <c r="L15" s="9">
        <f>'Anne-6'!K15</f>
        <v>427498</v>
      </c>
      <c r="M15" s="8">
        <f>'Anne-6'!V15</f>
        <v>437</v>
      </c>
      <c r="N15" s="35">
        <f>'Anne-6'!W15</f>
        <v>913010</v>
      </c>
      <c r="O15" s="8">
        <f>'Anne-7'!L15</f>
        <v>156659</v>
      </c>
      <c r="P15" s="8"/>
      <c r="Q15" s="35"/>
      <c r="R15" s="35">
        <f t="shared" si="1"/>
        <v>16484839</v>
      </c>
      <c r="S15" s="36">
        <f t="shared" si="0"/>
        <v>19527872</v>
      </c>
      <c r="T15" s="142">
        <f>D15/S15*100</f>
        <v>15.583024100117001</v>
      </c>
      <c r="U15" s="23"/>
      <c r="V15" s="23"/>
      <c r="W15" s="2">
        <v>25.596780822618488</v>
      </c>
    </row>
    <row r="16" spans="1:23" ht="15">
      <c r="A16" s="5">
        <v>8</v>
      </c>
      <c r="B16" s="6" t="s">
        <v>81</v>
      </c>
      <c r="C16" s="86">
        <v>2</v>
      </c>
      <c r="D16" s="25">
        <f>'Anne-6'!D16+'Anne-7'!F16</f>
        <v>1586782</v>
      </c>
      <c r="E16" s="8"/>
      <c r="F16" s="8">
        <f t="shared" si="2"/>
        <v>1586782</v>
      </c>
      <c r="G16" s="10">
        <f>'Anne-6'!G16</f>
        <v>1904509</v>
      </c>
      <c r="H16" s="8">
        <f>'Anne-6'!S16+'Anne-7'!I16</f>
        <v>1436357</v>
      </c>
      <c r="I16" s="8">
        <f>'Anne-6'!I16</f>
        <v>475329</v>
      </c>
      <c r="J16" s="8">
        <f>'Anne-7'!J16</f>
        <v>196230</v>
      </c>
      <c r="K16" s="8">
        <f>'Anne-6'!N16</f>
        <v>447450</v>
      </c>
      <c r="L16" s="9">
        <f>'Anne-6'!K16</f>
        <v>714277</v>
      </c>
      <c r="M16" s="8">
        <f>'Anne-6'!V16</f>
        <v>151</v>
      </c>
      <c r="N16" s="35">
        <f>'Anne-6'!W16</f>
        <v>44555</v>
      </c>
      <c r="O16" s="8">
        <f>'Anne-7'!L16</f>
        <v>71</v>
      </c>
      <c r="P16" s="8"/>
      <c r="Q16" s="35"/>
      <c r="R16" s="35">
        <f t="shared" si="1"/>
        <v>5218929</v>
      </c>
      <c r="S16" s="36">
        <f t="shared" si="0"/>
        <v>6805711</v>
      </c>
      <c r="T16" s="142">
        <f>D16/S16*100</f>
        <v>23.315447864301024</v>
      </c>
      <c r="U16" s="23"/>
      <c r="W16" s="2">
        <v>17.56694320474712</v>
      </c>
    </row>
    <row r="17" spans="1:23" ht="15">
      <c r="A17" s="5">
        <v>9</v>
      </c>
      <c r="B17" s="6" t="s">
        <v>82</v>
      </c>
      <c r="C17" s="86">
        <v>3</v>
      </c>
      <c r="D17" s="25">
        <f>'Anne-6'!D17+'Anne-7'!F17</f>
        <v>1153690</v>
      </c>
      <c r="E17" s="8"/>
      <c r="F17" s="8">
        <f t="shared" si="2"/>
        <v>1153690</v>
      </c>
      <c r="G17" s="10">
        <f>'Anne-6'!G17</f>
        <v>2302707</v>
      </c>
      <c r="H17" s="8">
        <f>'Anne-6'!S17+'Anne-7'!I17</f>
        <v>606558</v>
      </c>
      <c r="I17" s="8">
        <f>'Anne-6'!I17</f>
        <v>666009</v>
      </c>
      <c r="J17" s="8">
        <f>'Anne-7'!J17</f>
        <v>85035</v>
      </c>
      <c r="K17" s="8">
        <f>'Anne-6'!N17</f>
        <v>201578</v>
      </c>
      <c r="L17" s="9">
        <f>'Anne-6'!K17</f>
        <v>1786423</v>
      </c>
      <c r="M17" s="8">
        <f>'Anne-6'!V17</f>
        <v>319</v>
      </c>
      <c r="N17" s="35">
        <f>'Anne-6'!W17</f>
        <v>0</v>
      </c>
      <c r="O17" s="8">
        <f>'Anne-7'!L17</f>
        <v>21</v>
      </c>
      <c r="P17" s="8"/>
      <c r="Q17" s="35"/>
      <c r="R17" s="35">
        <f t="shared" si="1"/>
        <v>5648650</v>
      </c>
      <c r="S17" s="36">
        <f t="shared" si="0"/>
        <v>6802340</v>
      </c>
      <c r="T17" s="142">
        <f>D17/S17*100</f>
        <v>16.960193110018025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6"/>
      <c r="D18" s="25">
        <f>'Anne-6'!D18+'Anne-7'!F18</f>
        <v>0</v>
      </c>
      <c r="E18" s="8"/>
      <c r="F18" s="8">
        <f t="shared" si="2"/>
        <v>0</v>
      </c>
      <c r="G18" s="10">
        <f>'Anne-6'!G18</f>
        <v>0</v>
      </c>
      <c r="H18" s="8">
        <f>'Anne-6'!S18+'Anne-7'!I18</f>
        <v>0</v>
      </c>
      <c r="I18" s="8">
        <f>'Anne-6'!I18</f>
        <v>0</v>
      </c>
      <c r="J18" s="8">
        <f>'Anne-7'!J18</f>
        <v>0</v>
      </c>
      <c r="K18" s="8">
        <f>'Anne-6'!N18</f>
        <v>0</v>
      </c>
      <c r="L18" s="9">
        <f>'Anne-6'!K18</f>
        <v>0</v>
      </c>
      <c r="M18" s="8">
        <f>'Anne-6'!V18</f>
        <v>0</v>
      </c>
      <c r="N18" s="35">
        <f>'Anne-6'!W18</f>
        <v>0</v>
      </c>
      <c r="O18" s="8">
        <f>'Anne-7'!L18</f>
        <v>0</v>
      </c>
      <c r="P18" s="8"/>
      <c r="Q18" s="35"/>
      <c r="R18" s="35">
        <f t="shared" si="1"/>
        <v>0</v>
      </c>
      <c r="S18" s="36">
        <f t="shared" si="0"/>
        <v>0</v>
      </c>
      <c r="T18" s="142"/>
      <c r="W18" s="2">
        <v>17.20293779955842</v>
      </c>
    </row>
    <row r="19" spans="1:23" ht="15">
      <c r="A19" s="5">
        <v>11</v>
      </c>
      <c r="B19" s="6" t="s">
        <v>31</v>
      </c>
      <c r="C19" s="86">
        <v>2</v>
      </c>
      <c r="D19" s="25">
        <f>'Anne-6'!D19+'Anne-7'!F19</f>
        <v>6998146</v>
      </c>
      <c r="E19" s="8"/>
      <c r="F19" s="8">
        <f t="shared" si="2"/>
        <v>6998146</v>
      </c>
      <c r="G19" s="10">
        <f>'Anne-6'!G19</f>
        <v>15896254</v>
      </c>
      <c r="H19" s="8">
        <f>'Anne-6'!S19+'Anne-7'!I19</f>
        <v>6416357</v>
      </c>
      <c r="I19" s="8">
        <f>'Anne-6'!I19</f>
        <v>6452620</v>
      </c>
      <c r="J19" s="8">
        <f>'Anne-7'!J19</f>
        <v>6309062</v>
      </c>
      <c r="K19" s="8">
        <f>'Anne-6'!N19</f>
        <v>5890723</v>
      </c>
      <c r="L19" s="9">
        <f>'Anne-6'!K19</f>
        <v>1544826</v>
      </c>
      <c r="M19" s="8">
        <f>'Anne-6'!V19</f>
        <v>1061461</v>
      </c>
      <c r="N19" s="35">
        <f>'Anne-6'!W19</f>
        <v>8086</v>
      </c>
      <c r="O19" s="8">
        <f>'Anne-7'!L19</f>
        <v>2204660</v>
      </c>
      <c r="P19" s="8"/>
      <c r="Q19" s="35"/>
      <c r="R19" s="35">
        <f t="shared" si="1"/>
        <v>45784049</v>
      </c>
      <c r="S19" s="36">
        <f t="shared" si="0"/>
        <v>52782195</v>
      </c>
      <c r="T19" s="142">
        <f>D19/S19*100</f>
        <v>13.258535383001787</v>
      </c>
      <c r="V19" s="23"/>
      <c r="W19" s="2">
        <v>13.102763575654794</v>
      </c>
    </row>
    <row r="20" spans="1:23" ht="15">
      <c r="A20" s="5">
        <v>12</v>
      </c>
      <c r="B20" s="6" t="s">
        <v>32</v>
      </c>
      <c r="C20" s="86">
        <v>2</v>
      </c>
      <c r="D20" s="25">
        <f>'Anne-6'!D20+'Anne-7'!F20</f>
        <v>7621921</v>
      </c>
      <c r="E20" s="8"/>
      <c r="F20" s="8">
        <f t="shared" si="2"/>
        <v>7621921</v>
      </c>
      <c r="G20" s="10">
        <f>'Anne-6'!G20</f>
        <v>3433402</v>
      </c>
      <c r="H20" s="8">
        <f>'Anne-6'!S20+'Anne-7'!I20</f>
        <v>2885016</v>
      </c>
      <c r="I20" s="8">
        <f>'Anne-6'!I20</f>
        <v>6067506</v>
      </c>
      <c r="J20" s="8">
        <f>'Anne-7'!J20</f>
        <v>1992262</v>
      </c>
      <c r="K20" s="8">
        <f>'Anne-6'!N20</f>
        <v>7778697</v>
      </c>
      <c r="L20" s="9">
        <f>'Anne-6'!K20</f>
        <v>1522927</v>
      </c>
      <c r="M20" s="8">
        <f>'Anne-6'!V20</f>
        <v>391794</v>
      </c>
      <c r="N20" s="35">
        <f>'Anne-6'!W20</f>
        <v>9730</v>
      </c>
      <c r="O20" s="8">
        <f>'Anne-7'!L20</f>
        <v>541973</v>
      </c>
      <c r="P20" s="8"/>
      <c r="Q20" s="35"/>
      <c r="R20" s="35">
        <f t="shared" si="1"/>
        <v>24623307</v>
      </c>
      <c r="S20" s="36">
        <f t="shared" si="0"/>
        <v>32245228</v>
      </c>
      <c r="T20" s="142">
        <f>D20/S20*100</f>
        <v>23.637361162402076</v>
      </c>
      <c r="W20" s="2">
        <v>11.476392817874025</v>
      </c>
    </row>
    <row r="21" spans="1:23" ht="15">
      <c r="A21" s="5">
        <v>13</v>
      </c>
      <c r="B21" s="6" t="s">
        <v>83</v>
      </c>
      <c r="C21" s="86">
        <v>4</v>
      </c>
      <c r="D21" s="25">
        <f>'Anne-6'!D21+'Anne-7'!F21</f>
        <v>5030107</v>
      </c>
      <c r="E21" s="8"/>
      <c r="F21" s="8">
        <f t="shared" si="2"/>
        <v>5030107</v>
      </c>
      <c r="G21" s="10">
        <f>'Anne-6'!G21</f>
        <v>9656948</v>
      </c>
      <c r="H21" s="8">
        <f>'Anne-6'!S21+'Anne-7'!I21</f>
        <v>11549105</v>
      </c>
      <c r="I21" s="8">
        <f>'Anne-6'!I21</f>
        <v>4101877</v>
      </c>
      <c r="J21" s="8">
        <f>'Anne-7'!J21</f>
        <v>3937441</v>
      </c>
      <c r="K21" s="8">
        <f>'Anne-6'!N21</f>
        <v>14731226</v>
      </c>
      <c r="L21" s="9">
        <f>'Anne-6'!K21</f>
        <v>680866</v>
      </c>
      <c r="M21" s="8">
        <f>'Anne-6'!V21</f>
        <v>1313</v>
      </c>
      <c r="N21" s="35">
        <f>'Anne-6'!W21</f>
        <v>976589</v>
      </c>
      <c r="O21" s="8">
        <f>'Anne-7'!L21</f>
        <v>3121</v>
      </c>
      <c r="P21" s="8"/>
      <c r="Q21" s="35"/>
      <c r="R21" s="35">
        <f t="shared" si="1"/>
        <v>45638486</v>
      </c>
      <c r="S21" s="36">
        <f t="shared" si="0"/>
        <v>50668593</v>
      </c>
      <c r="T21" s="142">
        <f>D21/S21*100</f>
        <v>9.927465323538785</v>
      </c>
      <c r="W21" s="2">
        <v>20.199704323097638</v>
      </c>
    </row>
    <row r="22" spans="1:23" ht="15">
      <c r="A22" s="5">
        <v>14</v>
      </c>
      <c r="B22" s="6" t="s">
        <v>34</v>
      </c>
      <c r="C22" s="86">
        <v>5</v>
      </c>
      <c r="D22" s="25">
        <f>'Anne-6'!D22+'Anne-7'!F22</f>
        <v>6687309</v>
      </c>
      <c r="E22" s="8"/>
      <c r="F22" s="8">
        <f t="shared" si="2"/>
        <v>6687309</v>
      </c>
      <c r="G22" s="10">
        <f>'Anne-6'!G22</f>
        <v>9835555</v>
      </c>
      <c r="H22" s="8">
        <f>'Anne-6'!S22+'Anne-7'!I22</f>
        <v>7830723</v>
      </c>
      <c r="I22" s="8">
        <f>'Anne-6'!I22</f>
        <v>12977123</v>
      </c>
      <c r="J22" s="8">
        <f>'Anne-7'!J22</f>
        <v>6519501</v>
      </c>
      <c r="K22" s="8">
        <f>'Anne-6'!N22</f>
        <v>15554910</v>
      </c>
      <c r="L22" s="9">
        <f>'Anne-6'!K22</f>
        <v>1116017</v>
      </c>
      <c r="M22" s="8">
        <f>'Anne-6'!V22</f>
        <v>5638910</v>
      </c>
      <c r="N22" s="35">
        <f>'Anne-6'!W22</f>
        <v>8683</v>
      </c>
      <c r="O22" s="8">
        <f>'Anne-7'!L22</f>
        <v>676571</v>
      </c>
      <c r="P22" s="8"/>
      <c r="Q22" s="35"/>
      <c r="R22" s="35">
        <f t="shared" si="1"/>
        <v>60157993</v>
      </c>
      <c r="S22" s="36">
        <f t="shared" si="0"/>
        <v>66845302</v>
      </c>
      <c r="T22" s="142">
        <f>D22/S22*100</f>
        <v>10.004157061030257</v>
      </c>
      <c r="W22" s="2">
        <v>16.415438804006907</v>
      </c>
    </row>
    <row r="23" spans="1:23" ht="15">
      <c r="A23" s="5">
        <v>15</v>
      </c>
      <c r="B23" s="6" t="s">
        <v>35</v>
      </c>
      <c r="C23" s="86">
        <v>3</v>
      </c>
      <c r="D23" s="25">
        <f>'Anne-6'!D23+'Anne-7'!F23</f>
        <v>1736293</v>
      </c>
      <c r="E23" s="8"/>
      <c r="F23" s="8">
        <f t="shared" si="2"/>
        <v>1736293</v>
      </c>
      <c r="G23" s="10">
        <f>'Anne-6'!G23</f>
        <v>2573994</v>
      </c>
      <c r="H23" s="8">
        <f>'Anne-6'!S23+'Anne-7'!I23</f>
        <v>830331</v>
      </c>
      <c r="I23" s="8">
        <f>'Anne-6'!I23</f>
        <v>928563</v>
      </c>
      <c r="J23" s="8">
        <f>'Anne-7'!J23</f>
        <v>77214</v>
      </c>
      <c r="K23" s="8">
        <f>'Anne-6'!N23</f>
        <v>257734</v>
      </c>
      <c r="L23" s="9">
        <f>'Anne-6'!K23</f>
        <v>2334209</v>
      </c>
      <c r="M23" s="8">
        <f>'Anne-6'!V23</f>
        <v>90</v>
      </c>
      <c r="N23" s="35">
        <f>'Anne-6'!W23</f>
        <v>0</v>
      </c>
      <c r="O23" s="8">
        <f>'Anne-7'!L23</f>
        <v>151</v>
      </c>
      <c r="P23" s="8"/>
      <c r="Q23" s="35"/>
      <c r="R23" s="35">
        <f t="shared" si="1"/>
        <v>7002286</v>
      </c>
      <c r="S23" s="36">
        <f t="shared" si="0"/>
        <v>8738579</v>
      </c>
      <c r="T23" s="142">
        <f>D23/S23*100</f>
        <v>19.869283095111918</v>
      </c>
      <c r="W23" s="2">
        <v>18.233066796837388</v>
      </c>
    </row>
    <row r="24" spans="1:23" ht="15">
      <c r="A24" s="5">
        <v>16</v>
      </c>
      <c r="B24" s="6" t="s">
        <v>36</v>
      </c>
      <c r="C24" s="86"/>
      <c r="D24" s="25">
        <f>'Anne-6'!D24+'Anne-7'!F24</f>
        <v>0</v>
      </c>
      <c r="E24" s="8"/>
      <c r="F24" s="8">
        <f>D24+E24</f>
        <v>0</v>
      </c>
      <c r="G24" s="10">
        <f>'Anne-6'!G24</f>
        <v>0</v>
      </c>
      <c r="H24" s="8">
        <f>'Anne-6'!S24+'Anne-7'!I24</f>
        <v>0</v>
      </c>
      <c r="I24" s="8">
        <f>'Anne-6'!I24</f>
        <v>0</v>
      </c>
      <c r="J24" s="8">
        <f>'Anne-7'!J24</f>
        <v>0</v>
      </c>
      <c r="K24" s="8">
        <f>'Anne-6'!N24</f>
        <v>0</v>
      </c>
      <c r="L24" s="9">
        <f>'Anne-6'!K24</f>
        <v>0</v>
      </c>
      <c r="M24" s="8">
        <f>'Anne-6'!V24</f>
        <v>0</v>
      </c>
      <c r="N24" s="35">
        <f>'Anne-6'!W24</f>
        <v>0</v>
      </c>
      <c r="O24" s="8">
        <f>'Anne-7'!L24</f>
        <v>0</v>
      </c>
      <c r="P24" s="8"/>
      <c r="Q24" s="35"/>
      <c r="R24" s="35">
        <f t="shared" si="1"/>
        <v>0</v>
      </c>
      <c r="S24" s="36">
        <f t="shared" si="0"/>
        <v>0</v>
      </c>
      <c r="T24" s="142"/>
      <c r="W24" s="2">
        <v>13.323404116715686</v>
      </c>
    </row>
    <row r="25" spans="1:23" ht="15">
      <c r="A25" s="5">
        <v>17</v>
      </c>
      <c r="B25" s="6" t="s">
        <v>37</v>
      </c>
      <c r="C25" s="86">
        <v>2</v>
      </c>
      <c r="D25" s="25">
        <f>'Anne-6'!D25+'Anne-7'!F25</f>
        <v>4438237</v>
      </c>
      <c r="E25" s="8"/>
      <c r="F25" s="8">
        <f t="shared" si="2"/>
        <v>4438237</v>
      </c>
      <c r="G25" s="10">
        <f>'Anne-6'!G25</f>
        <v>6652023</v>
      </c>
      <c r="H25" s="8">
        <f>'Anne-6'!S25+'Anne-7'!I25</f>
        <v>3813211</v>
      </c>
      <c r="I25" s="8">
        <f>'Anne-6'!I25</f>
        <v>2789575</v>
      </c>
      <c r="J25" s="8">
        <f>'Anne-7'!J25</f>
        <v>2205917</v>
      </c>
      <c r="K25" s="8">
        <f>'Anne-6'!N25</f>
        <v>911343</v>
      </c>
      <c r="L25" s="9">
        <f>'Anne-6'!K25</f>
        <v>2791997</v>
      </c>
      <c r="M25" s="8">
        <f>'Anne-6'!V25</f>
        <v>703260</v>
      </c>
      <c r="N25" s="35">
        <f>'Anne-6'!W25</f>
        <v>10673</v>
      </c>
      <c r="O25" s="8">
        <f>'Anne-7'!L25</f>
        <v>803</v>
      </c>
      <c r="P25" s="8"/>
      <c r="Q25" s="35"/>
      <c r="R25" s="35">
        <f t="shared" si="1"/>
        <v>19878802</v>
      </c>
      <c r="S25" s="36">
        <f t="shared" si="0"/>
        <v>24317039</v>
      </c>
      <c r="T25" s="142">
        <f>D25/S25*100</f>
        <v>18.251551926202858</v>
      </c>
      <c r="W25" s="2">
        <v>11.157139831728973</v>
      </c>
    </row>
    <row r="26" spans="1:23" ht="15">
      <c r="A26" s="5">
        <v>18</v>
      </c>
      <c r="B26" s="6" t="s">
        <v>38</v>
      </c>
      <c r="C26" s="86">
        <v>3</v>
      </c>
      <c r="D26" s="25">
        <f>'Anne-6'!D26+'Anne-7'!F26</f>
        <v>4389946</v>
      </c>
      <c r="E26" s="8"/>
      <c r="F26" s="8">
        <f t="shared" si="2"/>
        <v>4389946</v>
      </c>
      <c r="G26" s="10">
        <f>'Anne-6'!G26</f>
        <v>6800705</v>
      </c>
      <c r="H26" s="8">
        <f>'Anne-6'!S26+'Anne-7'!I26</f>
        <v>2840719</v>
      </c>
      <c r="I26" s="8">
        <f>'Anne-6'!I26</f>
        <v>4309853</v>
      </c>
      <c r="J26" s="8">
        <f>'Anne-7'!J26</f>
        <v>2493061</v>
      </c>
      <c r="K26" s="8">
        <f>'Anne-6'!N26</f>
        <v>5493576</v>
      </c>
      <c r="L26" s="9">
        <f>'Anne-6'!K26</f>
        <v>973252</v>
      </c>
      <c r="M26" s="8">
        <f>'Anne-6'!V26</f>
        <v>430</v>
      </c>
      <c r="N26" s="35">
        <f>'Anne-6'!W26</f>
        <v>0</v>
      </c>
      <c r="O26" s="8">
        <f>'Anne-7'!L26</f>
        <v>1147</v>
      </c>
      <c r="P26" s="8">
        <f>'Anne-7'!K26</f>
        <v>1696650</v>
      </c>
      <c r="Q26" s="35"/>
      <c r="R26" s="35">
        <f t="shared" si="1"/>
        <v>24609393</v>
      </c>
      <c r="S26" s="36">
        <f t="shared" si="0"/>
        <v>28999339</v>
      </c>
      <c r="T26" s="142">
        <f>D26/S26*100</f>
        <v>15.13808987163466</v>
      </c>
      <c r="U26" s="23"/>
      <c r="W26" s="2">
        <v>18.621049879510213</v>
      </c>
    </row>
    <row r="27" spans="1:23" ht="15">
      <c r="A27" s="5">
        <v>19</v>
      </c>
      <c r="B27" s="6" t="s">
        <v>39</v>
      </c>
      <c r="C27" s="86">
        <v>3</v>
      </c>
      <c r="D27" s="25">
        <f>'Anne-6'!D27+'Anne-7'!F27</f>
        <v>5930085</v>
      </c>
      <c r="E27" s="8"/>
      <c r="F27" s="8">
        <f t="shared" si="2"/>
        <v>5930085</v>
      </c>
      <c r="G27" s="10">
        <f>'Anne-6'!G27</f>
        <v>14181992</v>
      </c>
      <c r="H27" s="8">
        <f>'Anne-6'!S27+'Anne-7'!I27</f>
        <v>5379429</v>
      </c>
      <c r="I27" s="8">
        <f>'Anne-6'!I27</f>
        <v>8565366</v>
      </c>
      <c r="J27" s="8">
        <f>'Anne-7'!J27</f>
        <v>3071790</v>
      </c>
      <c r="K27" s="8">
        <f>'Anne-6'!N27</f>
        <v>4515251</v>
      </c>
      <c r="L27" s="9">
        <f>'Anne-6'!K27</f>
        <v>2712870</v>
      </c>
      <c r="M27" s="8">
        <f>'Anne-6'!V27</f>
        <v>1045</v>
      </c>
      <c r="N27" s="35">
        <f>'Anne-6'!W27</f>
        <v>6687</v>
      </c>
      <c r="O27" s="8">
        <f>'Anne-7'!L27</f>
        <v>2207814</v>
      </c>
      <c r="P27" s="8"/>
      <c r="Q27" s="35"/>
      <c r="R27" s="35">
        <f t="shared" si="1"/>
        <v>40642244</v>
      </c>
      <c r="S27" s="36">
        <f t="shared" si="0"/>
        <v>46572329</v>
      </c>
      <c r="T27" s="142">
        <f>D27/S27*100</f>
        <v>12.733065164080584</v>
      </c>
      <c r="U27" s="23"/>
      <c r="W27" s="2">
        <v>11.446058657568615</v>
      </c>
    </row>
    <row r="28" spans="1:23" ht="15">
      <c r="A28" s="5">
        <v>20</v>
      </c>
      <c r="B28" s="6" t="s">
        <v>40</v>
      </c>
      <c r="C28" s="86">
        <v>4</v>
      </c>
      <c r="D28" s="25">
        <f>'Anne-6'!D28+'Anne-7'!F28</f>
        <v>7849615</v>
      </c>
      <c r="E28" s="8"/>
      <c r="F28" s="8">
        <f t="shared" si="2"/>
        <v>7849615</v>
      </c>
      <c r="G28" s="10">
        <f>'Anne-6'!G28</f>
        <v>9687228</v>
      </c>
      <c r="H28" s="8">
        <f>'Anne-6'!S28+'Anne-7'!I28</f>
        <v>5623356</v>
      </c>
      <c r="I28" s="8">
        <f>'Anne-6'!I28</f>
        <v>9777927</v>
      </c>
      <c r="J28" s="8">
        <f>'Anne-7'!J28</f>
        <v>4386818</v>
      </c>
      <c r="K28" s="8">
        <f>'Anne-6'!N28</f>
        <v>2172759</v>
      </c>
      <c r="L28" s="9">
        <f>'Anne-6'!K28</f>
        <v>17950019</v>
      </c>
      <c r="M28" s="8">
        <f>'Anne-6'!V28</f>
        <v>803528</v>
      </c>
      <c r="N28" s="35">
        <f>'Anne-6'!W28</f>
        <v>515005</v>
      </c>
      <c r="O28" s="8">
        <f>'Anne-7'!L28</f>
        <v>1234562</v>
      </c>
      <c r="P28" s="8"/>
      <c r="Q28" s="35"/>
      <c r="R28" s="35">
        <f t="shared" si="1"/>
        <v>52151202</v>
      </c>
      <c r="S28" s="36">
        <f t="shared" si="0"/>
        <v>60000817</v>
      </c>
      <c r="T28" s="142">
        <f>D28/S28*100</f>
        <v>13.082513526440815</v>
      </c>
      <c r="W28" s="2">
        <v>9.456205902479791</v>
      </c>
    </row>
    <row r="29" spans="1:23" ht="15">
      <c r="A29" s="5">
        <v>21</v>
      </c>
      <c r="B29" s="6" t="s">
        <v>41</v>
      </c>
      <c r="C29" s="86"/>
      <c r="D29" s="25">
        <f>'Anne-6'!D29+'Anne-7'!F29</f>
        <v>0</v>
      </c>
      <c r="E29" s="8"/>
      <c r="F29" s="8">
        <f t="shared" si="2"/>
        <v>0</v>
      </c>
      <c r="G29" s="10">
        <f>'Anne-6'!G29</f>
        <v>0</v>
      </c>
      <c r="H29" s="8">
        <f>'Anne-6'!S29+'Anne-7'!I29</f>
        <v>0</v>
      </c>
      <c r="I29" s="8">
        <f>'Anne-6'!I29</f>
        <v>0</v>
      </c>
      <c r="J29" s="8">
        <f>'Anne-7'!J29</f>
        <v>0</v>
      </c>
      <c r="K29" s="8">
        <f>'Anne-6'!N29</f>
        <v>0</v>
      </c>
      <c r="L29" s="9">
        <f>'Anne-6'!K29</f>
        <v>0</v>
      </c>
      <c r="M29" s="8">
        <f>'Anne-6'!V29</f>
        <v>0</v>
      </c>
      <c r="N29" s="35">
        <f>'Anne-6'!W29</f>
        <v>0</v>
      </c>
      <c r="O29" s="8">
        <f>'Anne-7'!L29</f>
        <v>0</v>
      </c>
      <c r="P29" s="8"/>
      <c r="Q29" s="35"/>
      <c r="R29" s="35">
        <f t="shared" si="1"/>
        <v>0</v>
      </c>
      <c r="S29" s="36">
        <f t="shared" si="0"/>
        <v>0</v>
      </c>
      <c r="T29" s="142"/>
      <c r="W29" s="2">
        <v>11.207944897028229</v>
      </c>
    </row>
    <row r="30" spans="1:23" ht="15">
      <c r="A30" s="5">
        <v>22</v>
      </c>
      <c r="B30" s="6" t="s">
        <v>84</v>
      </c>
      <c r="C30" s="86">
        <v>3</v>
      </c>
      <c r="D30" s="25">
        <f>'Anne-6'!D30+'Anne-7'!F30</f>
        <v>10295513</v>
      </c>
      <c r="E30" s="8"/>
      <c r="F30" s="8">
        <f t="shared" si="2"/>
        <v>10295513</v>
      </c>
      <c r="G30" s="10">
        <f>'Anne-6'!G30</f>
        <v>14940643</v>
      </c>
      <c r="H30" s="8">
        <f>'Anne-6'!S30+'Anne-7'!I30</f>
        <v>9648465</v>
      </c>
      <c r="I30" s="8">
        <f>'Anne-6'!I30</f>
        <v>14526236</v>
      </c>
      <c r="J30" s="8">
        <f>'Anne-7'!J30</f>
        <v>4141889</v>
      </c>
      <c r="K30" s="8">
        <f>'Anne-6'!N30</f>
        <v>6978230</v>
      </c>
      <c r="L30" s="9">
        <f>'Anne-6'!K30</f>
        <v>3589906</v>
      </c>
      <c r="M30" s="8">
        <f>'Anne-6'!V30</f>
        <v>7262667</v>
      </c>
      <c r="N30" s="35">
        <f>'Anne-6'!W30</f>
        <v>14635</v>
      </c>
      <c r="O30" s="8">
        <f>'Anne-7'!L30</f>
        <v>581226</v>
      </c>
      <c r="P30" s="8"/>
      <c r="Q30" s="35"/>
      <c r="R30" s="35">
        <f t="shared" si="1"/>
        <v>61683897</v>
      </c>
      <c r="S30" s="36">
        <f t="shared" si="0"/>
        <v>71979410</v>
      </c>
      <c r="T30" s="142">
        <f aca="true" t="shared" si="3" ref="T30:T38">D30/S30*100</f>
        <v>14.303413990195251</v>
      </c>
      <c r="W30" s="2">
        <v>11.264606079660437</v>
      </c>
    </row>
    <row r="31" spans="1:23" ht="15">
      <c r="A31" s="5">
        <v>23</v>
      </c>
      <c r="B31" s="6" t="s">
        <v>85</v>
      </c>
      <c r="C31" s="86">
        <v>5</v>
      </c>
      <c r="D31" s="25">
        <f>'Anne-6'!D31+'Anne-7'!F31</f>
        <v>4928465</v>
      </c>
      <c r="E31" s="8"/>
      <c r="F31" s="8">
        <f t="shared" si="2"/>
        <v>4928465</v>
      </c>
      <c r="G31" s="10">
        <f>'Anne-6'!G31</f>
        <v>6413401</v>
      </c>
      <c r="H31" s="8">
        <f>'Anne-6'!S31+'Anne-7'!I31</f>
        <v>6647314</v>
      </c>
      <c r="I31" s="8">
        <f>'Anne-6'!I31</f>
        <v>8999073</v>
      </c>
      <c r="J31" s="8">
        <f>'Anne-7'!J31</f>
        <v>4026419</v>
      </c>
      <c r="K31" s="8">
        <f>'Anne-6'!N31</f>
        <v>10189727</v>
      </c>
      <c r="L31" s="9">
        <f>'Anne-6'!K31</f>
        <v>1509375</v>
      </c>
      <c r="M31" s="8">
        <f>'Anne-6'!V31</f>
        <v>5001245</v>
      </c>
      <c r="N31" s="35">
        <f>'Anne-6'!W31</f>
        <v>5343</v>
      </c>
      <c r="O31" s="8">
        <f>'Anne-7'!L31</f>
        <v>617722</v>
      </c>
      <c r="P31" s="8"/>
      <c r="Q31" s="35"/>
      <c r="R31" s="35">
        <f t="shared" si="1"/>
        <v>43409619</v>
      </c>
      <c r="S31" s="36">
        <f t="shared" si="0"/>
        <v>48338084</v>
      </c>
      <c r="T31" s="142">
        <f t="shared" si="3"/>
        <v>10.195821994103035</v>
      </c>
      <c r="W31" s="8">
        <v>13.113051353560742</v>
      </c>
    </row>
    <row r="32" spans="1:23" ht="15">
      <c r="A32" s="5">
        <v>24</v>
      </c>
      <c r="B32" s="6" t="s">
        <v>44</v>
      </c>
      <c r="C32" s="86">
        <v>4</v>
      </c>
      <c r="D32" s="25">
        <f>'Anne-6'!D32+'Anne-7'!F32</f>
        <v>3622095</v>
      </c>
      <c r="E32" s="8"/>
      <c r="F32" s="8">
        <f t="shared" si="2"/>
        <v>3622095</v>
      </c>
      <c r="G32" s="10">
        <f>'Anne-6'!G32</f>
        <v>8726562</v>
      </c>
      <c r="H32" s="8">
        <f>'Anne-6'!S32+'Anne-7'!I32</f>
        <v>6699230</v>
      </c>
      <c r="I32" s="8">
        <f>'Anne-6'!I32</f>
        <v>11165667</v>
      </c>
      <c r="J32" s="8">
        <f>'Anne-7'!J32</f>
        <v>2140661</v>
      </c>
      <c r="K32" s="8">
        <f>'Anne-6'!N32</f>
        <v>2203390</v>
      </c>
      <c r="L32" s="9">
        <f>'Anne-6'!K32</f>
        <v>2982409</v>
      </c>
      <c r="M32" s="8">
        <f>'Anne-6'!V32</f>
        <v>3570869</v>
      </c>
      <c r="N32" s="35">
        <f>'Anne-6'!W32</f>
        <v>16506</v>
      </c>
      <c r="O32" s="8">
        <f>'Anne-7'!L32</f>
        <v>1949509</v>
      </c>
      <c r="P32" s="8"/>
      <c r="Q32" s="35"/>
      <c r="R32" s="35">
        <f t="shared" si="1"/>
        <v>39454803</v>
      </c>
      <c r="S32" s="36">
        <f t="shared" si="0"/>
        <v>43076898</v>
      </c>
      <c r="T32" s="142">
        <f t="shared" si="3"/>
        <v>8.408439716341693</v>
      </c>
      <c r="W32" s="2">
        <v>0</v>
      </c>
    </row>
    <row r="33" spans="1:23" ht="15">
      <c r="A33" s="5">
        <v>25</v>
      </c>
      <c r="B33" s="6" t="s">
        <v>45</v>
      </c>
      <c r="C33" s="86">
        <v>5</v>
      </c>
      <c r="D33" s="25">
        <f>'Anne-6'!D33+'Anne-7'!F33</f>
        <v>2315303</v>
      </c>
      <c r="E33" s="8"/>
      <c r="F33" s="8">
        <f t="shared" si="2"/>
        <v>2315303</v>
      </c>
      <c r="G33" s="10">
        <f>'Anne-6'!G33</f>
        <v>3579518</v>
      </c>
      <c r="H33" s="8">
        <f>'Anne-6'!S33+'Anne-7'!I33</f>
        <v>4152963</v>
      </c>
      <c r="I33" s="8">
        <f>'Anne-6'!I33</f>
        <v>4084284</v>
      </c>
      <c r="J33" s="8">
        <f>'Anne-7'!J33</f>
        <v>2804426</v>
      </c>
      <c r="K33" s="8">
        <f>'Anne-6'!N33</f>
        <v>1153806</v>
      </c>
      <c r="L33" s="9">
        <f>'Anne-6'!K33</f>
        <v>1858443</v>
      </c>
      <c r="M33" s="8">
        <f>'Anne-6'!V33</f>
        <v>1774330</v>
      </c>
      <c r="N33" s="35">
        <f>'Anne-6'!W33</f>
        <v>12</v>
      </c>
      <c r="O33" s="8">
        <f>'Anne-7'!L33</f>
        <v>887156</v>
      </c>
      <c r="P33" s="8"/>
      <c r="Q33" s="35"/>
      <c r="R33" s="35">
        <f t="shared" si="1"/>
        <v>20294938</v>
      </c>
      <c r="S33" s="36">
        <f t="shared" si="0"/>
        <v>22610241</v>
      </c>
      <c r="T33" s="142">
        <f t="shared" si="3"/>
        <v>10.240063341208968</v>
      </c>
      <c r="W33" s="23">
        <v>0</v>
      </c>
    </row>
    <row r="34" spans="1:23" ht="15">
      <c r="A34" s="5">
        <v>26</v>
      </c>
      <c r="B34" s="6" t="s">
        <v>46</v>
      </c>
      <c r="C34" s="86">
        <v>4</v>
      </c>
      <c r="D34" s="25">
        <f>'Anne-6'!D34+'Anne-7'!F34</f>
        <v>1590268</v>
      </c>
      <c r="E34" s="8"/>
      <c r="F34" s="8">
        <f t="shared" si="2"/>
        <v>1590268</v>
      </c>
      <c r="G34" s="10">
        <f>'Anne-6'!G34</f>
        <v>3630934</v>
      </c>
      <c r="H34" s="8">
        <f>'Anne-6'!S34+'Anne-7'!I34</f>
        <v>835954</v>
      </c>
      <c r="I34" s="8">
        <f>'Anne-6'!I34</f>
        <v>2091411</v>
      </c>
      <c r="J34" s="8">
        <f>'Anne-7'!J34</f>
        <v>1359500</v>
      </c>
      <c r="K34" s="8">
        <f>'Anne-6'!N34</f>
        <v>0</v>
      </c>
      <c r="L34" s="9">
        <f>'Anne-6'!K34</f>
        <v>3775087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11692886</v>
      </c>
      <c r="S34" s="36">
        <f t="shared" si="0"/>
        <v>13283154</v>
      </c>
      <c r="T34" s="142">
        <f t="shared" si="3"/>
        <v>11.972066272814423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1">
        <f aca="true" t="shared" si="4" ref="D35:S35">SUM(D9:D34)</f>
        <v>99922347</v>
      </c>
      <c r="E35" s="8">
        <f t="shared" si="4"/>
        <v>0</v>
      </c>
      <c r="F35" s="8">
        <f t="shared" si="4"/>
        <v>99922347</v>
      </c>
      <c r="G35" s="8">
        <f t="shared" si="4"/>
        <v>169395640</v>
      </c>
      <c r="H35" s="8">
        <f>SUM(H9:H34)</f>
        <v>105121690</v>
      </c>
      <c r="I35" s="8">
        <f t="shared" si="4"/>
        <v>132866817</v>
      </c>
      <c r="J35" s="8">
        <f t="shared" si="4"/>
        <v>62314546</v>
      </c>
      <c r="K35" s="8">
        <f>SUM(K9:K34)</f>
        <v>106492157</v>
      </c>
      <c r="L35" s="8">
        <f t="shared" si="4"/>
        <v>59004470</v>
      </c>
      <c r="M35" s="8">
        <f>SUM(M9:M34)</f>
        <v>39678780</v>
      </c>
      <c r="N35" s="25">
        <f>SUM(N9:N34)</f>
        <v>3215161</v>
      </c>
      <c r="O35" s="8">
        <f>SUM(O9:O34)</f>
        <v>13457593</v>
      </c>
      <c r="P35" s="8">
        <f>SUM(P9:P34)</f>
        <v>1696650</v>
      </c>
      <c r="Q35" s="8"/>
      <c r="R35" s="8">
        <f t="shared" si="4"/>
        <v>693243504</v>
      </c>
      <c r="S35" s="8">
        <f t="shared" si="4"/>
        <v>793165851</v>
      </c>
      <c r="T35" s="142">
        <f t="shared" si="3"/>
        <v>12.59791339655141</v>
      </c>
    </row>
    <row r="36" spans="1:20" ht="15">
      <c r="A36" s="4">
        <v>27</v>
      </c>
      <c r="B36" s="3" t="s">
        <v>48</v>
      </c>
      <c r="C36" s="4"/>
      <c r="D36" s="71"/>
      <c r="E36" s="71">
        <f>'Anne-6'!E36+'Anne-7'!G36</f>
        <v>2592458</v>
      </c>
      <c r="F36" s="8">
        <f t="shared" si="2"/>
        <v>2592458</v>
      </c>
      <c r="G36" s="10">
        <f>'Anne-6'!G36</f>
        <v>9027895</v>
      </c>
      <c r="H36" s="8">
        <f>'Anne-6'!S36+'Anne-7'!I36</f>
        <v>7424422</v>
      </c>
      <c r="I36" s="8">
        <f>'Anne-6'!I36</f>
        <v>8449120</v>
      </c>
      <c r="J36" s="8">
        <f>'Anne-7'!J36</f>
        <v>3755144</v>
      </c>
      <c r="K36" s="8">
        <f>'Anne-6'!N36</f>
        <v>4650742</v>
      </c>
      <c r="L36" s="9">
        <f>'Anne-6'!K36</f>
        <v>2951145</v>
      </c>
      <c r="M36" s="8">
        <f>'Anne-6'!V36</f>
        <v>0</v>
      </c>
      <c r="N36" s="35">
        <f>'Anne-6'!W36</f>
        <v>0</v>
      </c>
      <c r="O36" s="8">
        <f>'Anne-7'!L36</f>
        <v>962588</v>
      </c>
      <c r="P36" s="8">
        <f>'Anne-7'!K36</f>
        <v>0</v>
      </c>
      <c r="Q36" s="35"/>
      <c r="R36" s="35">
        <f t="shared" si="1"/>
        <v>37221056</v>
      </c>
      <c r="S36" s="36">
        <f>R36+F36</f>
        <v>39813514</v>
      </c>
      <c r="T36" s="142">
        <f t="shared" si="3"/>
        <v>0</v>
      </c>
    </row>
    <row r="37" spans="1:22" ht="15">
      <c r="A37" s="4">
        <v>28</v>
      </c>
      <c r="B37" s="3" t="s">
        <v>49</v>
      </c>
      <c r="C37" s="4"/>
      <c r="D37" s="71"/>
      <c r="E37" s="71">
        <f>'Anne-6'!E37+'Anne-7'!G37</f>
        <v>2710182</v>
      </c>
      <c r="F37" s="8">
        <f t="shared" si="2"/>
        <v>2710182</v>
      </c>
      <c r="G37" s="10">
        <f>'Anne-6'!G37</f>
        <v>3483357</v>
      </c>
      <c r="H37" s="8">
        <f>'Anne-6'!S37+'Anne-7'!I37</f>
        <v>5982157</v>
      </c>
      <c r="I37" s="8">
        <f>'Anne-6'!I37</f>
        <v>6160353</v>
      </c>
      <c r="J37" s="8">
        <f>'Anne-7'!J37</f>
        <v>3488432</v>
      </c>
      <c r="K37" s="8">
        <f>'Anne-6'!N37</f>
        <v>2803928</v>
      </c>
      <c r="L37" s="9">
        <f>'Anne-6'!K37</f>
        <v>1391669</v>
      </c>
      <c r="M37" s="8">
        <f>'Anne-6'!V37</f>
        <v>1841764</v>
      </c>
      <c r="N37" s="35">
        <f>'Anne-6'!W37</f>
        <v>425151</v>
      </c>
      <c r="O37" s="8">
        <f>'Anne-7'!L37</f>
        <v>459822</v>
      </c>
      <c r="P37" s="8">
        <f>'Anne-7'!K37</f>
        <v>0</v>
      </c>
      <c r="Q37" s="35">
        <f>'Anne-6'!X37</f>
        <v>3028539</v>
      </c>
      <c r="R37" s="35">
        <f t="shared" si="1"/>
        <v>29065172</v>
      </c>
      <c r="S37" s="36">
        <f>R37+F37</f>
        <v>31775354</v>
      </c>
      <c r="T37" s="142">
        <f t="shared" si="3"/>
        <v>0</v>
      </c>
      <c r="V37" s="23"/>
    </row>
    <row r="38" spans="1:20" s="98" customFormat="1" ht="15">
      <c r="A38" s="448"/>
      <c r="B38" s="423" t="s">
        <v>50</v>
      </c>
      <c r="C38" s="448">
        <v>5</v>
      </c>
      <c r="D38" s="71">
        <f aca="true" t="shared" si="5" ref="D38:S38">SUM(D35:D37)</f>
        <v>99922347</v>
      </c>
      <c r="E38" s="71">
        <f t="shared" si="5"/>
        <v>5302640</v>
      </c>
      <c r="F38" s="71">
        <f t="shared" si="5"/>
        <v>105224987</v>
      </c>
      <c r="G38" s="71">
        <f t="shared" si="5"/>
        <v>181906892</v>
      </c>
      <c r="H38" s="71">
        <f>SUM(H35:H37)</f>
        <v>118528269</v>
      </c>
      <c r="I38" s="71">
        <f t="shared" si="5"/>
        <v>147476290</v>
      </c>
      <c r="J38" s="71">
        <f t="shared" si="5"/>
        <v>69558122</v>
      </c>
      <c r="K38" s="71">
        <f>SUM(K35:K37)</f>
        <v>113946827</v>
      </c>
      <c r="L38" s="71">
        <f t="shared" si="5"/>
        <v>63347284</v>
      </c>
      <c r="M38" s="71">
        <f>SUM(M35:M37)</f>
        <v>41520544</v>
      </c>
      <c r="N38" s="71">
        <f>SUM(N35:N37)</f>
        <v>3640312</v>
      </c>
      <c r="O38" s="71">
        <f>SUM(O35:O37)</f>
        <v>14880003</v>
      </c>
      <c r="P38" s="71">
        <f>SUM(P35:P37)</f>
        <v>1696650</v>
      </c>
      <c r="Q38" s="71">
        <f t="shared" si="5"/>
        <v>3028539</v>
      </c>
      <c r="R38" s="71">
        <f t="shared" si="5"/>
        <v>759529732</v>
      </c>
      <c r="S38" s="71">
        <f t="shared" si="5"/>
        <v>864754719</v>
      </c>
      <c r="T38" s="449">
        <f t="shared" si="3"/>
        <v>11.554992971365328</v>
      </c>
    </row>
    <row r="39" spans="1:22" ht="14.25">
      <c r="A39" s="108" t="s">
        <v>51</v>
      </c>
      <c r="B39" s="109"/>
      <c r="C39" s="109"/>
      <c r="D39" s="140">
        <f>D38/$S$38*100</f>
        <v>11.554992971365328</v>
      </c>
      <c r="E39" s="140">
        <f aca="true" t="shared" si="6" ref="E39:J39">E38/$S$38*100</f>
        <v>0.6131958442657541</v>
      </c>
      <c r="F39" s="140">
        <f t="shared" si="6"/>
        <v>12.168188815631083</v>
      </c>
      <c r="G39" s="140">
        <f t="shared" si="6"/>
        <v>21.035663408735907</v>
      </c>
      <c r="H39" s="140">
        <f t="shared" si="6"/>
        <v>13.70657672005141</v>
      </c>
      <c r="I39" s="140">
        <f t="shared" si="6"/>
        <v>17.054117978163934</v>
      </c>
      <c r="J39" s="140">
        <f t="shared" si="6"/>
        <v>8.043682268705838</v>
      </c>
      <c r="K39" s="140">
        <f aca="true" t="shared" si="7" ref="K39:R39">K38/$S$38*100</f>
        <v>13.176780015929582</v>
      </c>
      <c r="L39" s="140">
        <f t="shared" si="7"/>
        <v>7.325462655266528</v>
      </c>
      <c r="M39" s="140">
        <f t="shared" si="7"/>
        <v>4.801424390954957</v>
      </c>
      <c r="N39" s="140">
        <f t="shared" si="7"/>
        <v>0.4209646874445099</v>
      </c>
      <c r="O39" s="140">
        <f t="shared" si="7"/>
        <v>1.7207194910953703</v>
      </c>
      <c r="P39" s="140">
        <f t="shared" si="7"/>
        <v>0.1962001435461377</v>
      </c>
      <c r="Q39" s="140">
        <f t="shared" si="7"/>
        <v>0.3502194244747452</v>
      </c>
      <c r="R39" s="140">
        <f t="shared" si="7"/>
        <v>87.83181118436892</v>
      </c>
      <c r="S39" s="140">
        <f>S38/S38*100</f>
        <v>100</v>
      </c>
      <c r="T39" s="140"/>
      <c r="V39" s="23"/>
    </row>
    <row r="40" spans="1:20" ht="27.75" customHeight="1" hidden="1">
      <c r="A40" s="113"/>
      <c r="B40" s="116" t="s">
        <v>108</v>
      </c>
      <c r="C40" s="117"/>
      <c r="D40" s="114">
        <f>D35/S35</f>
        <v>0.1259791339655141</v>
      </c>
      <c r="E40" s="114">
        <f>E35/S35</f>
        <v>0</v>
      </c>
      <c r="F40" s="114">
        <f>F35/S35</f>
        <v>0.1259791339655141</v>
      </c>
      <c r="G40" s="114">
        <f>G35/S35</f>
        <v>0.21356900298522813</v>
      </c>
      <c r="H40" s="114"/>
      <c r="I40" s="114">
        <f>I35/S35</f>
        <v>0.16751454545412597</v>
      </c>
      <c r="J40" s="114"/>
      <c r="K40" s="114">
        <f>K35/S35</f>
        <v>0.1342621557215781</v>
      </c>
      <c r="L40" s="114">
        <f>L35/S35</f>
        <v>0.0743910872178989</v>
      </c>
      <c r="M40" s="114"/>
      <c r="N40" s="114"/>
      <c r="O40" s="114"/>
      <c r="P40" s="114"/>
      <c r="Q40" s="114">
        <f>Q35/S35</f>
        <v>0</v>
      </c>
      <c r="R40" s="114">
        <f>R35/S35</f>
        <v>0.8740208660344859</v>
      </c>
      <c r="S40" s="114">
        <f>S35/S35</f>
        <v>1</v>
      </c>
      <c r="T40" s="144"/>
    </row>
    <row r="41" spans="1:20" ht="14.25">
      <c r="A41" s="102"/>
      <c r="B41" s="118"/>
      <c r="C41" s="118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41"/>
    </row>
    <row r="42" spans="1:20" ht="14.25">
      <c r="A42" s="108" t="str">
        <f>'Anne-4'!A40</f>
        <v>Conn. As on 30.11.2012</v>
      </c>
      <c r="B42" s="109"/>
      <c r="C42" s="119">
        <v>5</v>
      </c>
      <c r="D42" s="8">
        <v>99909334</v>
      </c>
      <c r="E42" s="8">
        <v>5305965</v>
      </c>
      <c r="F42" s="8">
        <v>105215299</v>
      </c>
      <c r="G42" s="8">
        <v>183610883</v>
      </c>
      <c r="H42" s="8">
        <v>134113490</v>
      </c>
      <c r="I42" s="8">
        <v>150765055</v>
      </c>
      <c r="J42" s="8">
        <v>72515165</v>
      </c>
      <c r="K42" s="8">
        <v>114144058</v>
      </c>
      <c r="L42" s="8">
        <v>65323317</v>
      </c>
      <c r="M42" s="8">
        <v>40601992</v>
      </c>
      <c r="N42" s="8">
        <v>4012265</v>
      </c>
      <c r="O42" s="8">
        <v>15669423</v>
      </c>
      <c r="P42" s="8">
        <v>1633414</v>
      </c>
      <c r="Q42" s="8">
        <v>3028539</v>
      </c>
      <c r="R42" s="8">
        <v>785417601</v>
      </c>
      <c r="S42" s="8">
        <v>890632900</v>
      </c>
      <c r="T42" s="143">
        <f>(D42)/S42*100</f>
        <v>11.217790629562415</v>
      </c>
    </row>
    <row r="43" spans="1:22" ht="14.25">
      <c r="A43" s="108" t="str">
        <f>'Anne-4'!A41</f>
        <v>Addition during Dec 2012</v>
      </c>
      <c r="B43" s="109"/>
      <c r="C43" s="119">
        <v>3</v>
      </c>
      <c r="D43" s="8">
        <f aca="true" t="shared" si="8" ref="D43:S43">D38-D42</f>
        <v>13013</v>
      </c>
      <c r="E43" s="8">
        <f t="shared" si="8"/>
        <v>-3325</v>
      </c>
      <c r="F43" s="8">
        <f t="shared" si="8"/>
        <v>9688</v>
      </c>
      <c r="G43" s="8">
        <f t="shared" si="8"/>
        <v>-1703991</v>
      </c>
      <c r="H43" s="8">
        <f t="shared" si="8"/>
        <v>-15585221</v>
      </c>
      <c r="I43" s="8">
        <f t="shared" si="8"/>
        <v>-3288765</v>
      </c>
      <c r="J43" s="8">
        <f t="shared" si="8"/>
        <v>-2957043</v>
      </c>
      <c r="K43" s="8">
        <f t="shared" si="8"/>
        <v>-197231</v>
      </c>
      <c r="L43" s="8">
        <f t="shared" si="8"/>
        <v>-1976033</v>
      </c>
      <c r="M43" s="8">
        <f>M38-M42</f>
        <v>918552</v>
      </c>
      <c r="N43" s="8">
        <f>N38-N42</f>
        <v>-371953</v>
      </c>
      <c r="O43" s="8">
        <f>O38-O42</f>
        <v>-789420</v>
      </c>
      <c r="P43" s="8">
        <f>P38-P42</f>
        <v>63236</v>
      </c>
      <c r="Q43" s="8">
        <f t="shared" si="8"/>
        <v>0</v>
      </c>
      <c r="R43" s="8">
        <f t="shared" si="8"/>
        <v>-25887869</v>
      </c>
      <c r="S43" s="8">
        <f t="shared" si="8"/>
        <v>-25878181</v>
      </c>
      <c r="T43" s="430" t="s">
        <v>130</v>
      </c>
      <c r="V43" s="159">
        <f>T38-T42</f>
        <v>0.33720234180291264</v>
      </c>
    </row>
    <row r="44" spans="1:22" ht="14.25">
      <c r="A44" s="108" t="str">
        <f>'Anne-4'!A42</f>
        <v>Conn. As on 31.03.2012</v>
      </c>
      <c r="B44" s="111"/>
      <c r="C44" s="4">
        <v>5</v>
      </c>
      <c r="D44" s="8">
        <v>98512988</v>
      </c>
      <c r="E44" s="8">
        <v>5844289</v>
      </c>
      <c r="F44" s="8">
        <v>104357277</v>
      </c>
      <c r="G44" s="8">
        <v>181279296</v>
      </c>
      <c r="H44" s="8">
        <v>153045692</v>
      </c>
      <c r="I44" s="8">
        <v>150465330</v>
      </c>
      <c r="J44" s="8">
        <v>81745797</v>
      </c>
      <c r="K44" s="8">
        <v>112722692</v>
      </c>
      <c r="L44" s="8">
        <v>62572579</v>
      </c>
      <c r="M44" s="8">
        <v>42431924</v>
      </c>
      <c r="N44" s="8">
        <v>5951588</v>
      </c>
      <c r="O44" s="8">
        <v>15803039</v>
      </c>
      <c r="P44" s="8">
        <v>1331392</v>
      </c>
      <c r="Q44" s="8">
        <v>3267241</v>
      </c>
      <c r="R44" s="8">
        <v>815739531</v>
      </c>
      <c r="S44" s="8">
        <v>920096808</v>
      </c>
      <c r="T44" s="145">
        <f>(D44)/S44*100</f>
        <v>10.706806842872995</v>
      </c>
      <c r="V44" s="159">
        <f>T38-T44</f>
        <v>0.8481861284923333</v>
      </c>
    </row>
    <row r="45" spans="1:20" ht="14.25">
      <c r="A45" s="108" t="str">
        <f>'Anne-4'!A43</f>
        <v>Addition during 2012-13</v>
      </c>
      <c r="B45" s="109"/>
      <c r="C45" s="4">
        <v>1</v>
      </c>
      <c r="D45" s="8">
        <f>D38-D44</f>
        <v>1409359</v>
      </c>
      <c r="E45" s="8">
        <f aca="true" t="shared" si="9" ref="E45:Q45">E38-E44</f>
        <v>-541649</v>
      </c>
      <c r="F45" s="8">
        <f t="shared" si="9"/>
        <v>867710</v>
      </c>
      <c r="G45" s="8">
        <f t="shared" si="9"/>
        <v>627596</v>
      </c>
      <c r="H45" s="8">
        <f t="shared" si="9"/>
        <v>-34517423</v>
      </c>
      <c r="I45" s="8">
        <f t="shared" si="9"/>
        <v>-2989040</v>
      </c>
      <c r="J45" s="8">
        <f t="shared" si="9"/>
        <v>-12187675</v>
      </c>
      <c r="K45" s="8">
        <f t="shared" si="9"/>
        <v>1224135</v>
      </c>
      <c r="L45" s="8">
        <f t="shared" si="9"/>
        <v>774705</v>
      </c>
      <c r="M45" s="8">
        <f>M38-M44</f>
        <v>-911380</v>
      </c>
      <c r="N45" s="8">
        <f>N38-N44</f>
        <v>-2311276</v>
      </c>
      <c r="O45" s="8">
        <f>O38-O44</f>
        <v>-923036</v>
      </c>
      <c r="P45" s="8">
        <f>P38-P44</f>
        <v>365258</v>
      </c>
      <c r="Q45" s="8">
        <f t="shared" si="9"/>
        <v>-238702</v>
      </c>
      <c r="R45" s="8">
        <f>R38-R44</f>
        <v>-56209799</v>
      </c>
      <c r="S45" s="8">
        <f>S38-S44</f>
        <v>-55342089</v>
      </c>
      <c r="T45" s="430" t="s">
        <v>130</v>
      </c>
    </row>
    <row r="46" spans="1:20" ht="15">
      <c r="A46" s="2" t="str">
        <f>'Anne-6'!A46</f>
        <v>Note: As per TRAI report, M/s Etisalat, S. Tel and Loop (Except for Mumbai Circle) have submitted that there are no active subscribers on their network hence their figures have been taken as Zero.</v>
      </c>
      <c r="B46" s="26"/>
      <c r="C46" s="26"/>
      <c r="S46" s="23"/>
      <c r="T46" s="23"/>
    </row>
    <row r="47" spans="2:20" ht="15">
      <c r="B47" s="26"/>
      <c r="C47" s="26"/>
      <c r="D47" s="320">
        <f>D45/D44*100</f>
        <v>1.430632679621899</v>
      </c>
      <c r="K47" s="23"/>
      <c r="S47" s="320">
        <f>S45/S44*100</f>
        <v>-6.014811541439453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2964535</v>
      </c>
      <c r="S49" s="23">
        <f>S11+S23</f>
        <v>23074863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" top="0.6299212598425197" bottom="0.2362204724409449" header="0.5118110236220472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45" sqref="I45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7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31st January 2013.</v>
      </c>
    </row>
    <row r="4" spans="2:3" ht="15">
      <c r="B4" s="77" t="s">
        <v>231</v>
      </c>
      <c r="C4" s="77"/>
    </row>
    <row r="5" spans="4:24" ht="14.25">
      <c r="D5" s="91">
        <v>1</v>
      </c>
      <c r="E5" s="91">
        <v>2</v>
      </c>
      <c r="F5" s="91"/>
      <c r="G5" s="91">
        <v>3</v>
      </c>
      <c r="H5" s="91"/>
      <c r="I5" s="91">
        <v>4</v>
      </c>
      <c r="J5" s="91"/>
      <c r="K5" s="91">
        <v>5</v>
      </c>
      <c r="L5" s="91"/>
      <c r="M5" s="91"/>
      <c r="N5" s="91">
        <v>6</v>
      </c>
      <c r="O5" s="91"/>
      <c r="P5" s="91"/>
      <c r="Q5" s="91"/>
      <c r="R5" s="91"/>
      <c r="S5" s="91">
        <v>7</v>
      </c>
      <c r="T5" s="91"/>
      <c r="U5" s="91"/>
      <c r="V5" s="91">
        <v>8</v>
      </c>
      <c r="W5" s="91">
        <v>9</v>
      </c>
      <c r="X5" s="91">
        <v>10</v>
      </c>
    </row>
    <row r="6" spans="1:30" ht="15">
      <c r="A6" s="469" t="s">
        <v>19</v>
      </c>
      <c r="B6" s="469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3" t="s">
        <v>53</v>
      </c>
      <c r="Z6" s="545" t="s">
        <v>70</v>
      </c>
      <c r="AA6" s="558" t="s">
        <v>120</v>
      </c>
      <c r="AB6" s="556" t="s">
        <v>99</v>
      </c>
      <c r="AC6" s="556"/>
      <c r="AD6" s="556"/>
    </row>
    <row r="7" spans="1:30" s="41" customFormat="1" ht="15.75" customHeight="1">
      <c r="A7" s="469"/>
      <c r="B7" s="469"/>
      <c r="C7" s="478" t="s">
        <v>118</v>
      </c>
      <c r="D7" s="555" t="s">
        <v>1</v>
      </c>
      <c r="E7" s="552" t="s">
        <v>2</v>
      </c>
      <c r="F7" s="553" t="s">
        <v>52</v>
      </c>
      <c r="G7" s="545" t="s">
        <v>54</v>
      </c>
      <c r="H7" s="375" t="s">
        <v>3</v>
      </c>
      <c r="I7" s="545" t="s">
        <v>110</v>
      </c>
      <c r="J7" s="376"/>
      <c r="K7" s="545" t="s">
        <v>55</v>
      </c>
      <c r="L7" s="376" t="s">
        <v>10</v>
      </c>
      <c r="M7" s="547" t="s">
        <v>14</v>
      </c>
      <c r="N7" s="545" t="s">
        <v>56</v>
      </c>
      <c r="O7" s="549" t="s">
        <v>11</v>
      </c>
      <c r="P7" s="550"/>
      <c r="Q7" s="550"/>
      <c r="R7" s="551"/>
      <c r="S7" s="545" t="s">
        <v>117</v>
      </c>
      <c r="T7" s="547" t="s">
        <v>13</v>
      </c>
      <c r="U7" s="547" t="s">
        <v>8</v>
      </c>
      <c r="V7" s="548" t="s">
        <v>134</v>
      </c>
      <c r="W7" s="548" t="s">
        <v>144</v>
      </c>
      <c r="X7" s="545" t="s">
        <v>188</v>
      </c>
      <c r="Y7" s="557"/>
      <c r="Z7" s="557"/>
      <c r="AA7" s="559"/>
      <c r="AB7" s="556"/>
      <c r="AC7" s="556"/>
      <c r="AD7" s="556"/>
    </row>
    <row r="8" spans="1:32" s="41" customFormat="1" ht="30.75" customHeight="1">
      <c r="A8" s="469"/>
      <c r="B8" s="469"/>
      <c r="C8" s="479"/>
      <c r="D8" s="555"/>
      <c r="E8" s="552"/>
      <c r="F8" s="554"/>
      <c r="G8" s="546"/>
      <c r="H8" s="76" t="s">
        <v>75</v>
      </c>
      <c r="I8" s="546"/>
      <c r="J8" s="374" t="s">
        <v>107</v>
      </c>
      <c r="K8" s="546"/>
      <c r="L8" s="377" t="s">
        <v>4</v>
      </c>
      <c r="M8" s="545"/>
      <c r="N8" s="546"/>
      <c r="O8" s="377"/>
      <c r="P8" s="374" t="s">
        <v>12</v>
      </c>
      <c r="Q8" s="374" t="s">
        <v>7</v>
      </c>
      <c r="R8" s="374" t="s">
        <v>9</v>
      </c>
      <c r="S8" s="546"/>
      <c r="T8" s="545"/>
      <c r="U8" s="545"/>
      <c r="V8" s="548"/>
      <c r="W8" s="548"/>
      <c r="X8" s="546"/>
      <c r="Y8" s="554"/>
      <c r="Z8" s="554"/>
      <c r="AA8" s="560"/>
      <c r="AB8" s="52" t="s">
        <v>47</v>
      </c>
      <c r="AC8" s="45" t="s">
        <v>87</v>
      </c>
      <c r="AD8" s="45" t="s">
        <v>88</v>
      </c>
      <c r="AE8" s="41" t="s">
        <v>122</v>
      </c>
      <c r="AF8" s="378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1"/>
      <c r="P9" s="71"/>
      <c r="Q9" s="71"/>
      <c r="R9" s="207"/>
      <c r="S9" s="71">
        <f>T9+U9</f>
        <v>0</v>
      </c>
      <c r="T9" s="207"/>
      <c r="U9" s="207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198743</v>
      </c>
      <c r="AC9" s="38">
        <v>113805</v>
      </c>
      <c r="AD9" s="38">
        <v>84938</v>
      </c>
      <c r="AF9" s="101">
        <v>198743</v>
      </c>
      <c r="AG9" s="2">
        <v>105270</v>
      </c>
    </row>
    <row r="10" spans="1:36" ht="13.5" customHeight="1">
      <c r="A10" s="5">
        <v>2</v>
      </c>
      <c r="B10" s="6" t="s">
        <v>22</v>
      </c>
      <c r="C10" s="86">
        <v>3</v>
      </c>
      <c r="D10" s="71">
        <f>AB10</f>
        <v>9111798</v>
      </c>
      <c r="E10" s="8"/>
      <c r="F10" s="8">
        <f>D10+E10</f>
        <v>9111798</v>
      </c>
      <c r="G10" s="208">
        <f aca="true" t="shared" si="1" ref="G10:G37">H10</f>
        <v>17704841</v>
      </c>
      <c r="H10" s="101">
        <v>17704841</v>
      </c>
      <c r="I10" s="8">
        <f>J10</f>
        <v>6080916</v>
      </c>
      <c r="J10" s="30">
        <v>6080916</v>
      </c>
      <c r="K10" s="8">
        <f>L10+M10</f>
        <v>1871685</v>
      </c>
      <c r="L10" s="30">
        <v>1871685</v>
      </c>
      <c r="M10" s="8"/>
      <c r="N10" s="85">
        <f aca="true" t="shared" si="2" ref="N10:N34">O10+P10+Q10</f>
        <v>10632055</v>
      </c>
      <c r="O10" s="30">
        <v>10632055</v>
      </c>
      <c r="P10" s="71"/>
      <c r="Q10" s="71"/>
      <c r="R10" s="71"/>
      <c r="S10" s="71">
        <f aca="true" t="shared" si="3" ref="S10:S37">T10+U10</f>
        <v>0</v>
      </c>
      <c r="T10" s="71"/>
      <c r="U10" s="71"/>
      <c r="V10" s="8">
        <v>4029580</v>
      </c>
      <c r="W10" s="8">
        <v>9763</v>
      </c>
      <c r="X10" s="8"/>
      <c r="Y10" s="35">
        <f aca="true" t="shared" si="4" ref="Y10:Y37">G10+I10+K10+N10+S10+V10+W10+X10</f>
        <v>40328840</v>
      </c>
      <c r="Z10" s="36">
        <f t="shared" si="0"/>
        <v>49440638</v>
      </c>
      <c r="AA10" s="143">
        <f>(D10)/Z10*100</f>
        <v>18.429774308333158</v>
      </c>
      <c r="AB10" s="46">
        <f aca="true" t="shared" si="5" ref="AB10:AB34">AC10+AD10</f>
        <v>9111798</v>
      </c>
      <c r="AC10" s="38">
        <v>4355214</v>
      </c>
      <c r="AD10" s="38">
        <v>4756584</v>
      </c>
      <c r="AF10" s="160">
        <v>9111798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6">
        <v>5</v>
      </c>
      <c r="D11" s="71">
        <f>AB11</f>
        <v>1136616</v>
      </c>
      <c r="E11" s="8"/>
      <c r="F11" s="8">
        <f aca="true" t="shared" si="7" ref="F11:F37">D11+E11</f>
        <v>1136616</v>
      </c>
      <c r="G11" s="208">
        <f t="shared" si="1"/>
        <v>3826231</v>
      </c>
      <c r="H11" s="30">
        <v>3826231</v>
      </c>
      <c r="I11" s="85">
        <f>J11</f>
        <v>2188073</v>
      </c>
      <c r="J11" s="30">
        <v>2188073</v>
      </c>
      <c r="K11" s="85">
        <f aca="true" t="shared" si="8" ref="K11:K38">L11+M11</f>
        <v>3542284</v>
      </c>
      <c r="L11" s="8"/>
      <c r="M11" s="30">
        <v>3542284</v>
      </c>
      <c r="N11" s="8">
        <f t="shared" si="2"/>
        <v>368973</v>
      </c>
      <c r="O11" s="30">
        <v>368973</v>
      </c>
      <c r="Q11" s="71"/>
      <c r="R11" s="71"/>
      <c r="S11" s="94">
        <f>T11+U11</f>
        <v>3060184</v>
      </c>
      <c r="T11" s="30">
        <f>3107326-47142</f>
        <v>3060184</v>
      </c>
      <c r="U11" s="71"/>
      <c r="V11" s="8">
        <v>779</v>
      </c>
      <c r="W11" s="8"/>
      <c r="X11" s="8"/>
      <c r="Y11" s="35">
        <f t="shared" si="4"/>
        <v>12986524</v>
      </c>
      <c r="Z11" s="36">
        <f t="shared" si="0"/>
        <v>14123140</v>
      </c>
      <c r="AA11" s="143">
        <f>(D11)/Z11*100</f>
        <v>8.04789869674874</v>
      </c>
      <c r="AB11" s="46">
        <f t="shared" si="5"/>
        <v>1136616</v>
      </c>
      <c r="AC11" s="38">
        <v>819983</v>
      </c>
      <c r="AD11" s="38">
        <v>316633</v>
      </c>
      <c r="AF11" s="160">
        <v>1136616</v>
      </c>
      <c r="AG11" s="2">
        <v>1009899</v>
      </c>
      <c r="AI11" s="2">
        <v>1880216</v>
      </c>
      <c r="AJ11" s="23">
        <f t="shared" si="6"/>
        <v>-1179968</v>
      </c>
    </row>
    <row r="12" spans="1:36" ht="15">
      <c r="A12" s="5">
        <v>4</v>
      </c>
      <c r="B12" s="6" t="s">
        <v>24</v>
      </c>
      <c r="C12" s="86">
        <v>4</v>
      </c>
      <c r="D12" s="71">
        <f>AB12+AB18</f>
        <v>5772401</v>
      </c>
      <c r="E12" s="8"/>
      <c r="F12" s="8">
        <f t="shared" si="7"/>
        <v>5772401</v>
      </c>
      <c r="G12" s="208">
        <f t="shared" si="1"/>
        <v>18619726</v>
      </c>
      <c r="H12" s="30">
        <v>18619726</v>
      </c>
      <c r="I12" s="85">
        <f aca="true" t="shared" si="9" ref="I12:I37">J12</f>
        <v>6381278</v>
      </c>
      <c r="J12" s="30">
        <v>6381278</v>
      </c>
      <c r="K12" s="8">
        <f t="shared" si="8"/>
        <v>4981643</v>
      </c>
      <c r="L12" s="8"/>
      <c r="M12" s="30">
        <v>4981643</v>
      </c>
      <c r="N12" s="8">
        <f t="shared" si="2"/>
        <v>5459296</v>
      </c>
      <c r="O12" s="30">
        <v>5459296</v>
      </c>
      <c r="P12" s="71"/>
      <c r="Q12" s="71"/>
      <c r="R12" s="71"/>
      <c r="S12" s="94">
        <f>T12+U12</f>
        <v>5891232</v>
      </c>
      <c r="T12" s="30">
        <v>5891232</v>
      </c>
      <c r="U12" s="71"/>
      <c r="V12" s="8">
        <v>5005668</v>
      </c>
      <c r="W12" s="8">
        <v>18598</v>
      </c>
      <c r="X12" s="8"/>
      <c r="Y12" s="35">
        <f t="shared" si="4"/>
        <v>46357441</v>
      </c>
      <c r="Z12" s="36">
        <f t="shared" si="0"/>
        <v>52129842</v>
      </c>
      <c r="AA12" s="143">
        <f>(D12)/Z12*100</f>
        <v>11.073121994116153</v>
      </c>
      <c r="AB12" s="46">
        <f t="shared" si="5"/>
        <v>4171796</v>
      </c>
      <c r="AC12" s="38">
        <v>2789494</v>
      </c>
      <c r="AD12" s="38">
        <v>1382302</v>
      </c>
      <c r="AF12" s="160">
        <v>4171796</v>
      </c>
      <c r="AG12" s="2">
        <v>3092531</v>
      </c>
      <c r="AI12" s="2">
        <v>7175844</v>
      </c>
      <c r="AJ12" s="23">
        <f t="shared" si="6"/>
        <v>1284612</v>
      </c>
    </row>
    <row r="13" spans="1:36" ht="14.25">
      <c r="A13" s="5">
        <v>5</v>
      </c>
      <c r="B13" s="6" t="s">
        <v>25</v>
      </c>
      <c r="C13" s="86"/>
      <c r="D13" s="71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1"/>
      <c r="P13" s="71"/>
      <c r="Q13" s="71"/>
      <c r="R13" s="71"/>
      <c r="S13" s="71">
        <f t="shared" si="3"/>
        <v>0</v>
      </c>
      <c r="T13" s="71">
        <v>0</v>
      </c>
      <c r="U13" s="71"/>
      <c r="V13" s="8"/>
      <c r="W13" s="8"/>
      <c r="X13" s="8"/>
      <c r="Y13" s="35">
        <f t="shared" si="4"/>
        <v>0</v>
      </c>
      <c r="Z13" s="36">
        <f t="shared" si="0"/>
        <v>0</v>
      </c>
      <c r="AA13" s="143"/>
      <c r="AB13" s="46">
        <f t="shared" si="5"/>
        <v>1539662</v>
      </c>
      <c r="AC13" s="38">
        <v>1024247</v>
      </c>
      <c r="AD13" s="38">
        <v>515415</v>
      </c>
      <c r="AF13" s="101">
        <v>1539662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6">
        <v>5</v>
      </c>
      <c r="D14" s="71">
        <f>AB14</f>
        <v>4122846</v>
      </c>
      <c r="E14" s="8"/>
      <c r="F14" s="8">
        <f t="shared" si="7"/>
        <v>4122846</v>
      </c>
      <c r="G14" s="208">
        <f t="shared" si="1"/>
        <v>6810708</v>
      </c>
      <c r="H14" s="30">
        <v>6810708</v>
      </c>
      <c r="I14" s="85">
        <f t="shared" si="9"/>
        <v>15801116</v>
      </c>
      <c r="J14" s="30">
        <v>15801116</v>
      </c>
      <c r="K14" s="8">
        <f t="shared" si="8"/>
        <v>338457</v>
      </c>
      <c r="L14" s="30">
        <v>338457</v>
      </c>
      <c r="M14" s="8"/>
      <c r="N14" s="85">
        <f t="shared" si="2"/>
        <v>8018178</v>
      </c>
      <c r="O14" s="30">
        <v>8018178</v>
      </c>
      <c r="P14" s="71"/>
      <c r="Q14" s="71"/>
      <c r="R14" s="71"/>
      <c r="S14" s="71">
        <f t="shared" si="3"/>
        <v>0</v>
      </c>
      <c r="T14" s="71">
        <v>0</v>
      </c>
      <c r="U14" s="71"/>
      <c r="V14" s="85">
        <v>4430904</v>
      </c>
      <c r="W14" s="8">
        <v>657286</v>
      </c>
      <c r="X14" s="8"/>
      <c r="Y14" s="35">
        <f t="shared" si="4"/>
        <v>36056649</v>
      </c>
      <c r="Z14" s="36">
        <f t="shared" si="0"/>
        <v>40179495</v>
      </c>
      <c r="AA14" s="143">
        <f>(D14)/Z14*100</f>
        <v>10.261069732210421</v>
      </c>
      <c r="AB14" s="46">
        <f t="shared" si="5"/>
        <v>4122846</v>
      </c>
      <c r="AC14" s="38">
        <v>2679854</v>
      </c>
      <c r="AD14" s="38">
        <v>1442992</v>
      </c>
      <c r="AF14" s="160">
        <v>4122846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6">
        <v>3</v>
      </c>
      <c r="D15" s="71">
        <f>AB15</f>
        <v>3022224</v>
      </c>
      <c r="E15" s="8"/>
      <c r="F15" s="8">
        <f t="shared" si="7"/>
        <v>3022224</v>
      </c>
      <c r="G15" s="10">
        <f t="shared" si="1"/>
        <v>2217759</v>
      </c>
      <c r="H15" s="30">
        <v>2217759</v>
      </c>
      <c r="I15" s="85">
        <f t="shared" si="9"/>
        <v>4437015</v>
      </c>
      <c r="J15" s="30">
        <v>4437015</v>
      </c>
      <c r="K15" s="8">
        <f t="shared" si="8"/>
        <v>427498</v>
      </c>
      <c r="L15" s="30">
        <v>427498</v>
      </c>
      <c r="M15" s="8"/>
      <c r="N15" s="85">
        <f t="shared" si="2"/>
        <v>3533255</v>
      </c>
      <c r="O15" s="71"/>
      <c r="P15" s="30">
        <v>3533255</v>
      </c>
      <c r="Q15" s="71"/>
      <c r="R15" s="71"/>
      <c r="S15" s="71">
        <f t="shared" si="3"/>
        <v>0</v>
      </c>
      <c r="T15" s="71">
        <v>0</v>
      </c>
      <c r="U15" s="71"/>
      <c r="V15" s="8">
        <v>437</v>
      </c>
      <c r="W15" s="8">
        <v>913010</v>
      </c>
      <c r="X15" s="8"/>
      <c r="Y15" s="35">
        <f t="shared" si="4"/>
        <v>11528974</v>
      </c>
      <c r="Z15" s="36">
        <f t="shared" si="0"/>
        <v>14551198</v>
      </c>
      <c r="AA15" s="143">
        <f>(D15)/Z15*100</f>
        <v>20.769588868215525</v>
      </c>
      <c r="AB15" s="46">
        <f t="shared" si="5"/>
        <v>3022224</v>
      </c>
      <c r="AC15" s="38">
        <v>1300700</v>
      </c>
      <c r="AD15" s="38">
        <v>1721524</v>
      </c>
      <c r="AF15" s="160">
        <v>3022224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6">
        <v>2</v>
      </c>
      <c r="D16" s="71">
        <f>AB16</f>
        <v>1527016</v>
      </c>
      <c r="E16" s="8"/>
      <c r="F16" s="8">
        <f t="shared" si="7"/>
        <v>1527016</v>
      </c>
      <c r="G16" s="208">
        <f t="shared" si="1"/>
        <v>1904509</v>
      </c>
      <c r="H16" s="30">
        <v>1904509</v>
      </c>
      <c r="I16" s="8">
        <f t="shared" si="9"/>
        <v>475329</v>
      </c>
      <c r="J16" s="30">
        <v>475329</v>
      </c>
      <c r="K16" s="8">
        <f t="shared" si="8"/>
        <v>714277</v>
      </c>
      <c r="L16" s="8"/>
      <c r="M16" s="30">
        <v>714277</v>
      </c>
      <c r="N16" s="8">
        <f t="shared" si="2"/>
        <v>447450</v>
      </c>
      <c r="O16" s="71"/>
      <c r="P16" s="71"/>
      <c r="Q16" s="30">
        <v>447450</v>
      </c>
      <c r="R16" s="71"/>
      <c r="S16" s="71">
        <f>T16+U16</f>
        <v>1436357</v>
      </c>
      <c r="T16" s="30">
        <f>1541365-105008</f>
        <v>1436357</v>
      </c>
      <c r="U16" s="71"/>
      <c r="V16" s="8">
        <v>151</v>
      </c>
      <c r="W16" s="8">
        <v>44555</v>
      </c>
      <c r="X16" s="8"/>
      <c r="Y16" s="35">
        <f t="shared" si="4"/>
        <v>5022628</v>
      </c>
      <c r="Z16" s="36">
        <f t="shared" si="0"/>
        <v>6549644</v>
      </c>
      <c r="AA16" s="143">
        <f>(D16)/Z16*100</f>
        <v>23.314488543194102</v>
      </c>
      <c r="AB16" s="46">
        <f t="shared" si="5"/>
        <v>1527016</v>
      </c>
      <c r="AC16" s="38">
        <v>591912</v>
      </c>
      <c r="AD16" s="38">
        <v>935104</v>
      </c>
      <c r="AF16" s="160">
        <v>1527016</v>
      </c>
      <c r="AG16" s="23">
        <v>1156410</v>
      </c>
      <c r="AH16" s="23"/>
      <c r="AI16" s="2">
        <v>1220916</v>
      </c>
      <c r="AJ16" s="23">
        <f t="shared" si="6"/>
        <v>-215441</v>
      </c>
    </row>
    <row r="17" spans="1:36" ht="15">
      <c r="A17" s="5">
        <v>9</v>
      </c>
      <c r="B17" s="6" t="s">
        <v>82</v>
      </c>
      <c r="C17" s="86">
        <v>3</v>
      </c>
      <c r="D17" s="71">
        <f>AB17</f>
        <v>1084195</v>
      </c>
      <c r="E17" s="8"/>
      <c r="F17" s="8">
        <f t="shared" si="7"/>
        <v>1084195</v>
      </c>
      <c r="G17" s="208">
        <f t="shared" si="1"/>
        <v>2302707</v>
      </c>
      <c r="H17" s="30">
        <v>2302707</v>
      </c>
      <c r="I17" s="8">
        <f t="shared" si="9"/>
        <v>666009</v>
      </c>
      <c r="J17" s="30">
        <v>666009</v>
      </c>
      <c r="K17" s="85">
        <f t="shared" si="8"/>
        <v>1786423</v>
      </c>
      <c r="L17" s="8"/>
      <c r="M17" s="30">
        <v>1786423</v>
      </c>
      <c r="N17" s="8">
        <f t="shared" si="2"/>
        <v>201578</v>
      </c>
      <c r="O17" s="30">
        <v>201578</v>
      </c>
      <c r="P17" s="71"/>
      <c r="Q17" s="71"/>
      <c r="R17" s="71"/>
      <c r="S17" s="71">
        <f t="shared" si="3"/>
        <v>0</v>
      </c>
      <c r="T17" s="71">
        <v>0</v>
      </c>
      <c r="U17" s="71"/>
      <c r="V17" s="8">
        <v>319</v>
      </c>
      <c r="W17" s="8"/>
      <c r="X17" s="8"/>
      <c r="Y17" s="35">
        <f t="shared" si="4"/>
        <v>4957036</v>
      </c>
      <c r="Z17" s="36">
        <f t="shared" si="0"/>
        <v>6041231</v>
      </c>
      <c r="AA17" s="143">
        <f>(D17)/Z17*100</f>
        <v>17.946590686567028</v>
      </c>
      <c r="AB17" s="46">
        <f t="shared" si="5"/>
        <v>1084195</v>
      </c>
      <c r="AC17" s="38">
        <v>981210</v>
      </c>
      <c r="AD17" s="38">
        <v>102985</v>
      </c>
      <c r="AF17" s="160">
        <v>1084195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6"/>
      <c r="D18" s="71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1"/>
      <c r="P18" s="71"/>
      <c r="Q18" s="71"/>
      <c r="R18" s="71"/>
      <c r="S18" s="71">
        <f t="shared" si="3"/>
        <v>0</v>
      </c>
      <c r="T18" s="71">
        <v>0</v>
      </c>
      <c r="U18" s="71"/>
      <c r="V18" s="8"/>
      <c r="W18" s="8"/>
      <c r="X18" s="8"/>
      <c r="Y18" s="35">
        <f t="shared" si="4"/>
        <v>0</v>
      </c>
      <c r="Z18" s="36">
        <f t="shared" si="0"/>
        <v>0</v>
      </c>
      <c r="AA18" s="143"/>
      <c r="AB18" s="46">
        <f t="shared" si="5"/>
        <v>1600605</v>
      </c>
      <c r="AC18" s="38">
        <v>1148700</v>
      </c>
      <c r="AD18" s="38">
        <v>451905</v>
      </c>
      <c r="AF18" s="101">
        <v>1600605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6">
        <v>2</v>
      </c>
      <c r="D19" s="71">
        <f>AB19</f>
        <v>6807210</v>
      </c>
      <c r="E19" s="8"/>
      <c r="F19" s="8">
        <f t="shared" si="7"/>
        <v>6807210</v>
      </c>
      <c r="G19" s="208">
        <f t="shared" si="1"/>
        <v>15896254</v>
      </c>
      <c r="H19" s="30">
        <v>15896254</v>
      </c>
      <c r="I19" s="8">
        <f t="shared" si="9"/>
        <v>6452620</v>
      </c>
      <c r="J19" s="30">
        <v>6452620</v>
      </c>
      <c r="K19" s="8">
        <f t="shared" si="8"/>
        <v>1544826</v>
      </c>
      <c r="L19" s="30">
        <v>1544826</v>
      </c>
      <c r="M19" s="8"/>
      <c r="N19" s="8">
        <f>R19</f>
        <v>5890723</v>
      </c>
      <c r="O19" s="71"/>
      <c r="P19" s="71"/>
      <c r="Q19" s="71"/>
      <c r="R19" s="30">
        <v>5890723</v>
      </c>
      <c r="S19" s="71">
        <f t="shared" si="3"/>
        <v>0</v>
      </c>
      <c r="T19" s="71">
        <v>0</v>
      </c>
      <c r="U19" s="71"/>
      <c r="V19" s="8">
        <v>1061461</v>
      </c>
      <c r="W19" s="8">
        <v>8086</v>
      </c>
      <c r="X19" s="8"/>
      <c r="Y19" s="35">
        <f t="shared" si="4"/>
        <v>30853970</v>
      </c>
      <c r="Z19" s="36">
        <f t="shared" si="0"/>
        <v>37661180</v>
      </c>
      <c r="AA19" s="143">
        <f>(D19)/Z19*100</f>
        <v>18.07487179105912</v>
      </c>
      <c r="AB19" s="46">
        <f t="shared" si="5"/>
        <v>6807210</v>
      </c>
      <c r="AC19" s="38">
        <v>5414934</v>
      </c>
      <c r="AD19" s="38">
        <v>1392276</v>
      </c>
      <c r="AF19" s="160">
        <v>6807210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6">
        <v>2</v>
      </c>
      <c r="D20" s="71">
        <f>AB20</f>
        <v>7328110</v>
      </c>
      <c r="E20" s="8"/>
      <c r="F20" s="8">
        <f t="shared" si="7"/>
        <v>7328110</v>
      </c>
      <c r="G20" s="10">
        <f>H20</f>
        <v>3433402</v>
      </c>
      <c r="H20" s="30">
        <v>3433402</v>
      </c>
      <c r="I20" s="8">
        <f t="shared" si="9"/>
        <v>6067506</v>
      </c>
      <c r="J20" s="30">
        <v>6067506</v>
      </c>
      <c r="K20" s="8">
        <f t="shared" si="8"/>
        <v>1522927</v>
      </c>
      <c r="L20" s="8"/>
      <c r="M20" s="30">
        <v>1522927</v>
      </c>
      <c r="N20" s="85">
        <f t="shared" si="2"/>
        <v>7778697</v>
      </c>
      <c r="O20" s="71"/>
      <c r="P20" s="30">
        <v>7778697</v>
      </c>
      <c r="Q20" s="71"/>
      <c r="R20" s="71"/>
      <c r="S20" s="71">
        <f t="shared" si="3"/>
        <v>0</v>
      </c>
      <c r="T20" s="71">
        <v>0</v>
      </c>
      <c r="U20" s="71"/>
      <c r="V20" s="8">
        <v>391794</v>
      </c>
      <c r="W20" s="8">
        <v>9730</v>
      </c>
      <c r="X20" s="8"/>
      <c r="Y20" s="35">
        <f t="shared" si="4"/>
        <v>19204056</v>
      </c>
      <c r="Z20" s="36">
        <f t="shared" si="0"/>
        <v>26532166</v>
      </c>
      <c r="AA20" s="143">
        <f>(D20)/Z20*100</f>
        <v>27.619720154019838</v>
      </c>
      <c r="AB20" s="46">
        <f t="shared" si="5"/>
        <v>7328110</v>
      </c>
      <c r="AC20" s="38">
        <v>4346549</v>
      </c>
      <c r="AD20" s="38">
        <v>2981561</v>
      </c>
      <c r="AF20" s="160">
        <v>7328110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6">
        <v>4</v>
      </c>
      <c r="D21" s="71">
        <f>AB21+AB13</f>
        <v>4801690</v>
      </c>
      <c r="E21" s="8"/>
      <c r="F21" s="8">
        <f t="shared" si="7"/>
        <v>4801690</v>
      </c>
      <c r="G21" s="208">
        <f t="shared" si="1"/>
        <v>9656948</v>
      </c>
      <c r="H21" s="30">
        <v>9656948</v>
      </c>
      <c r="I21" s="8">
        <f t="shared" si="9"/>
        <v>4101877</v>
      </c>
      <c r="J21" s="30">
        <v>4101877</v>
      </c>
      <c r="K21" s="8">
        <f t="shared" si="8"/>
        <v>680866</v>
      </c>
      <c r="L21" s="30">
        <v>680866</v>
      </c>
      <c r="M21" s="8"/>
      <c r="N21" s="85">
        <f t="shared" si="2"/>
        <v>14731226</v>
      </c>
      <c r="O21" s="30">
        <v>14731226</v>
      </c>
      <c r="P21" s="71"/>
      <c r="Q21" s="71"/>
      <c r="R21" s="71"/>
      <c r="S21" s="94">
        <f>T21+U21</f>
        <v>8313704</v>
      </c>
      <c r="T21" s="30">
        <v>8313704</v>
      </c>
      <c r="U21" s="71"/>
      <c r="V21" s="8">
        <v>1313</v>
      </c>
      <c r="W21" s="8">
        <v>976589</v>
      </c>
      <c r="X21" s="8"/>
      <c r="Y21" s="35">
        <f t="shared" si="4"/>
        <v>38462523</v>
      </c>
      <c r="Z21" s="36">
        <f t="shared" si="0"/>
        <v>43264213</v>
      </c>
      <c r="AA21" s="143">
        <f>(D21)/Z21*100</f>
        <v>11.098526165262731</v>
      </c>
      <c r="AB21" s="46">
        <f t="shared" si="5"/>
        <v>3262028</v>
      </c>
      <c r="AC21" s="38">
        <v>2129097</v>
      </c>
      <c r="AD21" s="38">
        <v>1132931</v>
      </c>
      <c r="AF21" s="160">
        <v>3262028</v>
      </c>
      <c r="AG21" s="2">
        <v>2094151</v>
      </c>
      <c r="AI21" s="2">
        <v>9032056</v>
      </c>
      <c r="AJ21" s="23">
        <f t="shared" si="6"/>
        <v>718352</v>
      </c>
    </row>
    <row r="22" spans="1:36" ht="15">
      <c r="A22" s="5">
        <v>14</v>
      </c>
      <c r="B22" s="6" t="s">
        <v>34</v>
      </c>
      <c r="C22" s="86">
        <v>4</v>
      </c>
      <c r="D22" s="71">
        <f>AB22</f>
        <v>6526749</v>
      </c>
      <c r="E22" s="8"/>
      <c r="F22" s="8">
        <f t="shared" si="7"/>
        <v>6526749</v>
      </c>
      <c r="G22" s="208">
        <f t="shared" si="1"/>
        <v>9835555</v>
      </c>
      <c r="H22" s="30">
        <v>9835555</v>
      </c>
      <c r="I22" s="85">
        <f t="shared" si="9"/>
        <v>12977123</v>
      </c>
      <c r="J22" s="30">
        <v>12977123</v>
      </c>
      <c r="K22" s="8">
        <f t="shared" si="8"/>
        <v>1116017</v>
      </c>
      <c r="L22" s="30">
        <v>1116017</v>
      </c>
      <c r="M22" s="8"/>
      <c r="N22" s="85">
        <f t="shared" si="2"/>
        <v>15554910</v>
      </c>
      <c r="O22" s="30">
        <v>15554910</v>
      </c>
      <c r="P22" s="71"/>
      <c r="Q22" s="71"/>
      <c r="R22" s="71"/>
      <c r="S22" s="71">
        <f t="shared" si="3"/>
        <v>0</v>
      </c>
      <c r="T22" s="71">
        <v>0</v>
      </c>
      <c r="U22" s="71"/>
      <c r="V22" s="8">
        <v>5638910</v>
      </c>
      <c r="W22" s="8">
        <v>8683</v>
      </c>
      <c r="X22" s="8"/>
      <c r="Y22" s="35">
        <f t="shared" si="4"/>
        <v>45131198</v>
      </c>
      <c r="Z22" s="36">
        <f t="shared" si="0"/>
        <v>51657947</v>
      </c>
      <c r="AA22" s="143">
        <f>(D22)/Z22*100</f>
        <v>12.634549723782094</v>
      </c>
      <c r="AB22" s="46">
        <f t="shared" si="5"/>
        <v>6526749</v>
      </c>
      <c r="AC22" s="38">
        <v>4151689</v>
      </c>
      <c r="AD22" s="38">
        <v>2375060</v>
      </c>
      <c r="AF22" s="160">
        <v>6526749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6">
        <v>3</v>
      </c>
      <c r="D23" s="71">
        <f>AB23+AB24</f>
        <v>1590019</v>
      </c>
      <c r="E23" s="8"/>
      <c r="F23" s="8">
        <f t="shared" si="7"/>
        <v>1590019</v>
      </c>
      <c r="G23" s="208">
        <f t="shared" si="1"/>
        <v>2573994</v>
      </c>
      <c r="H23" s="30">
        <v>2573994</v>
      </c>
      <c r="I23" s="8">
        <f t="shared" si="9"/>
        <v>928563</v>
      </c>
      <c r="J23" s="30">
        <v>928563</v>
      </c>
      <c r="K23" s="85">
        <f t="shared" si="8"/>
        <v>2334209</v>
      </c>
      <c r="L23" s="8"/>
      <c r="M23" s="30">
        <v>2334209</v>
      </c>
      <c r="N23" s="8">
        <f t="shared" si="2"/>
        <v>257734</v>
      </c>
      <c r="O23" s="30">
        <v>257734</v>
      </c>
      <c r="P23" s="71"/>
      <c r="Q23" s="71"/>
      <c r="R23" s="71"/>
      <c r="S23" s="71">
        <f>T23</f>
        <v>830331</v>
      </c>
      <c r="T23" s="30">
        <f>897193-66862</f>
        <v>830331</v>
      </c>
      <c r="U23" s="71"/>
      <c r="V23" s="8">
        <v>90</v>
      </c>
      <c r="W23" s="8"/>
      <c r="X23" s="8"/>
      <c r="Y23" s="35">
        <f t="shared" si="4"/>
        <v>6924921</v>
      </c>
      <c r="Z23" s="36">
        <f t="shared" si="0"/>
        <v>8514940</v>
      </c>
      <c r="AA23" s="143">
        <f>(D23)/Z23*100</f>
        <v>18.673284838178542</v>
      </c>
      <c r="AB23" s="46">
        <f t="shared" si="5"/>
        <v>838357</v>
      </c>
      <c r="AC23" s="38">
        <v>589457</v>
      </c>
      <c r="AD23" s="38">
        <v>248900</v>
      </c>
      <c r="AF23" s="160">
        <v>838357</v>
      </c>
      <c r="AG23" s="23">
        <v>383286</v>
      </c>
      <c r="AI23" s="2">
        <v>528185</v>
      </c>
      <c r="AJ23" s="23">
        <f t="shared" si="6"/>
        <v>-302146</v>
      </c>
    </row>
    <row r="24" spans="1:36" ht="14.25">
      <c r="A24" s="5">
        <v>16</v>
      </c>
      <c r="B24" s="6" t="s">
        <v>36</v>
      </c>
      <c r="C24" s="86"/>
      <c r="D24" s="71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1"/>
      <c r="P24" s="71"/>
      <c r="Q24" s="71"/>
      <c r="R24" s="71"/>
      <c r="S24" s="71">
        <f t="shared" si="3"/>
        <v>0</v>
      </c>
      <c r="T24" s="71">
        <v>0</v>
      </c>
      <c r="U24" s="71"/>
      <c r="V24" s="8"/>
      <c r="W24" s="8"/>
      <c r="X24" s="8"/>
      <c r="Y24" s="35">
        <f t="shared" si="4"/>
        <v>0</v>
      </c>
      <c r="Z24" s="36">
        <f t="shared" si="0"/>
        <v>0</v>
      </c>
      <c r="AA24" s="143"/>
      <c r="AB24" s="46">
        <f t="shared" si="5"/>
        <v>751662</v>
      </c>
      <c r="AC24" s="38">
        <v>448000</v>
      </c>
      <c r="AD24" s="38">
        <v>303662</v>
      </c>
      <c r="AF24" s="101">
        <v>751662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6">
        <v>2</v>
      </c>
      <c r="D25" s="71">
        <f>AB25</f>
        <v>4363973</v>
      </c>
      <c r="E25" s="8"/>
      <c r="F25" s="8">
        <f t="shared" si="7"/>
        <v>4363973</v>
      </c>
      <c r="G25" s="208">
        <f t="shared" si="1"/>
        <v>6652023</v>
      </c>
      <c r="H25" s="30">
        <v>6652023</v>
      </c>
      <c r="I25" s="8">
        <f t="shared" si="9"/>
        <v>2789575</v>
      </c>
      <c r="J25" s="30">
        <v>2789575</v>
      </c>
      <c r="K25" s="8">
        <f t="shared" si="8"/>
        <v>2791997</v>
      </c>
      <c r="L25" s="8"/>
      <c r="M25" s="30">
        <v>2791997</v>
      </c>
      <c r="N25" s="8">
        <f t="shared" si="2"/>
        <v>911343</v>
      </c>
      <c r="O25" s="30">
        <v>911343</v>
      </c>
      <c r="P25" s="71"/>
      <c r="Q25" s="71"/>
      <c r="R25" s="71"/>
      <c r="S25" s="71">
        <f>T25+U25</f>
        <v>3804370</v>
      </c>
      <c r="T25" s="30">
        <v>3804370</v>
      </c>
      <c r="U25" s="71"/>
      <c r="V25" s="8">
        <v>703260</v>
      </c>
      <c r="W25" s="8">
        <v>10673</v>
      </c>
      <c r="X25" s="8"/>
      <c r="Y25" s="35">
        <f t="shared" si="4"/>
        <v>17663241</v>
      </c>
      <c r="Z25" s="36">
        <f t="shared" si="0"/>
        <v>22027214</v>
      </c>
      <c r="AA25" s="143">
        <f>(D25)/Z25*100</f>
        <v>19.81173379438725</v>
      </c>
      <c r="AB25" s="46">
        <f t="shared" si="5"/>
        <v>4363973</v>
      </c>
      <c r="AC25" s="38">
        <v>2570252</v>
      </c>
      <c r="AD25" s="38">
        <v>1793721</v>
      </c>
      <c r="AF25" s="160">
        <v>4363973</v>
      </c>
      <c r="AG25" s="2">
        <v>2083541</v>
      </c>
      <c r="AI25" s="2">
        <v>2854476</v>
      </c>
      <c r="AJ25" s="23">
        <f t="shared" si="6"/>
        <v>-949894</v>
      </c>
    </row>
    <row r="26" spans="1:36" ht="15">
      <c r="A26" s="5">
        <v>18</v>
      </c>
      <c r="B26" s="6" t="s">
        <v>38</v>
      </c>
      <c r="C26" s="86">
        <v>3</v>
      </c>
      <c r="D26" s="71">
        <f>AB26</f>
        <v>4342728</v>
      </c>
      <c r="E26" s="8"/>
      <c r="F26" s="8">
        <f t="shared" si="7"/>
        <v>4342728</v>
      </c>
      <c r="G26" s="208">
        <f t="shared" si="1"/>
        <v>6800705</v>
      </c>
      <c r="H26" s="30">
        <v>6800705</v>
      </c>
      <c r="I26" s="8">
        <f t="shared" si="9"/>
        <v>4309853</v>
      </c>
      <c r="J26" s="30">
        <v>4309853</v>
      </c>
      <c r="K26" s="8">
        <f t="shared" si="8"/>
        <v>973252</v>
      </c>
      <c r="L26" s="30">
        <v>973252</v>
      </c>
      <c r="M26" s="8"/>
      <c r="N26" s="85">
        <f>R26</f>
        <v>5493576</v>
      </c>
      <c r="O26" s="71"/>
      <c r="P26" s="71"/>
      <c r="Q26" s="71"/>
      <c r="R26" s="30">
        <v>5493576</v>
      </c>
      <c r="S26" s="71">
        <f t="shared" si="3"/>
        <v>0</v>
      </c>
      <c r="T26" s="71">
        <v>0</v>
      </c>
      <c r="U26" s="71"/>
      <c r="V26" s="8">
        <v>430</v>
      </c>
      <c r="W26" s="8"/>
      <c r="X26" s="8"/>
      <c r="Y26" s="35">
        <f t="shared" si="4"/>
        <v>17577816</v>
      </c>
      <c r="Z26" s="36">
        <f t="shared" si="0"/>
        <v>21920544</v>
      </c>
      <c r="AA26" s="143">
        <f>(D26)/Z26*100</f>
        <v>19.81122366306238</v>
      </c>
      <c r="AB26" s="46">
        <f t="shared" si="5"/>
        <v>4342728</v>
      </c>
      <c r="AC26" s="38">
        <v>2634665</v>
      </c>
      <c r="AD26" s="38">
        <v>1708063</v>
      </c>
      <c r="AF26" s="160">
        <v>4342728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6">
        <v>3</v>
      </c>
      <c r="D27" s="71">
        <f>AB27</f>
        <v>5747383</v>
      </c>
      <c r="E27" s="8"/>
      <c r="F27" s="8">
        <f t="shared" si="7"/>
        <v>5747383</v>
      </c>
      <c r="G27" s="208">
        <f t="shared" si="1"/>
        <v>14181992</v>
      </c>
      <c r="H27" s="30">
        <v>14181992</v>
      </c>
      <c r="I27" s="85">
        <f t="shared" si="9"/>
        <v>8565366</v>
      </c>
      <c r="J27" s="30">
        <v>8565366</v>
      </c>
      <c r="K27" s="8">
        <f t="shared" si="8"/>
        <v>2712870</v>
      </c>
      <c r="L27" s="30">
        <v>2712870</v>
      </c>
      <c r="M27" s="8"/>
      <c r="N27" s="8">
        <f t="shared" si="2"/>
        <v>4515251</v>
      </c>
      <c r="O27" s="71"/>
      <c r="P27" s="71"/>
      <c r="Q27" s="30">
        <v>4515251</v>
      </c>
      <c r="R27" s="71"/>
      <c r="S27" s="71">
        <f t="shared" si="3"/>
        <v>0</v>
      </c>
      <c r="T27" s="71">
        <v>0</v>
      </c>
      <c r="U27" s="71"/>
      <c r="V27" s="8">
        <v>1045</v>
      </c>
      <c r="W27" s="8">
        <v>6687</v>
      </c>
      <c r="X27" s="8"/>
      <c r="Y27" s="35">
        <f t="shared" si="4"/>
        <v>29983211</v>
      </c>
      <c r="Z27" s="36">
        <f t="shared" si="0"/>
        <v>35730594</v>
      </c>
      <c r="AA27" s="143">
        <f>(D27)/Z27*100</f>
        <v>16.085327324813015</v>
      </c>
      <c r="AB27" s="46">
        <f t="shared" si="5"/>
        <v>5747383</v>
      </c>
      <c r="AC27" s="38">
        <v>3951914</v>
      </c>
      <c r="AD27" s="38">
        <v>1795469</v>
      </c>
      <c r="AF27" s="160">
        <v>5747383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6">
        <v>4</v>
      </c>
      <c r="D28" s="71">
        <f>AB28</f>
        <v>7744546</v>
      </c>
      <c r="E28" s="8"/>
      <c r="F28" s="8">
        <f t="shared" si="7"/>
        <v>7744546</v>
      </c>
      <c r="G28" s="208">
        <f t="shared" si="1"/>
        <v>9687228</v>
      </c>
      <c r="H28" s="30">
        <v>9687228</v>
      </c>
      <c r="I28" s="85">
        <f t="shared" si="9"/>
        <v>9777927</v>
      </c>
      <c r="J28" s="30">
        <v>9777927</v>
      </c>
      <c r="K28" s="85">
        <f t="shared" si="8"/>
        <v>17950019</v>
      </c>
      <c r="L28" s="30">
        <v>17950019</v>
      </c>
      <c r="M28" s="8"/>
      <c r="N28" s="8">
        <f t="shared" si="2"/>
        <v>2172759</v>
      </c>
      <c r="O28" s="30">
        <v>2172759</v>
      </c>
      <c r="P28" s="71"/>
      <c r="Q28" s="71"/>
      <c r="R28" s="71"/>
      <c r="S28" s="71">
        <f t="shared" si="3"/>
        <v>0</v>
      </c>
      <c r="T28" s="71">
        <v>0</v>
      </c>
      <c r="U28" s="71"/>
      <c r="V28" s="8">
        <v>803528</v>
      </c>
      <c r="W28" s="8">
        <v>515005</v>
      </c>
      <c r="X28" s="8"/>
      <c r="Y28" s="35">
        <f t="shared" si="4"/>
        <v>40906466</v>
      </c>
      <c r="Z28" s="36">
        <f t="shared" si="0"/>
        <v>48651012</v>
      </c>
      <c r="AA28" s="143">
        <f>(D28)/Z28*100</f>
        <v>15.918571231365137</v>
      </c>
      <c r="AB28" s="46">
        <f t="shared" si="5"/>
        <v>7744546</v>
      </c>
      <c r="AC28" s="38">
        <v>6888552</v>
      </c>
      <c r="AD28" s="38">
        <v>855994</v>
      </c>
      <c r="AF28" s="160">
        <v>7744546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6"/>
      <c r="D29" s="71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1"/>
      <c r="P29" s="71"/>
      <c r="Q29" s="71"/>
      <c r="R29" s="71"/>
      <c r="S29" s="71">
        <f t="shared" si="3"/>
        <v>0</v>
      </c>
      <c r="T29" s="71">
        <v>0</v>
      </c>
      <c r="U29" s="71"/>
      <c r="V29" s="8"/>
      <c r="W29" s="8"/>
      <c r="X29" s="8"/>
      <c r="Y29" s="35">
        <f t="shared" si="4"/>
        <v>0</v>
      </c>
      <c r="Z29" s="36">
        <f t="shared" si="0"/>
        <v>0</v>
      </c>
      <c r="AA29" s="143"/>
      <c r="AB29" s="46">
        <f t="shared" si="5"/>
        <v>1367030</v>
      </c>
      <c r="AC29" s="38">
        <v>754531</v>
      </c>
      <c r="AD29" s="38">
        <v>612499</v>
      </c>
      <c r="AF29" s="101">
        <v>1367030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6">
        <v>3</v>
      </c>
      <c r="D30" s="71">
        <f>AB30</f>
        <v>9870834</v>
      </c>
      <c r="E30" s="8"/>
      <c r="F30" s="8">
        <f t="shared" si="7"/>
        <v>9870834</v>
      </c>
      <c r="G30" s="208">
        <f>H30</f>
        <v>14940643</v>
      </c>
      <c r="H30" s="30">
        <v>14940643</v>
      </c>
      <c r="I30" s="85">
        <f t="shared" si="9"/>
        <v>14526236</v>
      </c>
      <c r="J30" s="30">
        <v>14526236</v>
      </c>
      <c r="K30" s="8">
        <f t="shared" si="8"/>
        <v>3589906</v>
      </c>
      <c r="L30" s="30">
        <v>3589906</v>
      </c>
      <c r="M30" s="8"/>
      <c r="N30" s="8">
        <f t="shared" si="2"/>
        <v>6978230</v>
      </c>
      <c r="O30" s="71"/>
      <c r="P30" s="71"/>
      <c r="Q30" s="30">
        <v>6978230</v>
      </c>
      <c r="R30" s="71"/>
      <c r="S30" s="71">
        <f t="shared" si="3"/>
        <v>0</v>
      </c>
      <c r="T30" s="71">
        <v>0</v>
      </c>
      <c r="U30" s="71"/>
      <c r="V30" s="8">
        <v>7262667</v>
      </c>
      <c r="W30" s="8">
        <v>14635</v>
      </c>
      <c r="X30" s="8"/>
      <c r="Y30" s="35">
        <f t="shared" si="4"/>
        <v>47312317</v>
      </c>
      <c r="Z30" s="36">
        <f t="shared" si="0"/>
        <v>57183151</v>
      </c>
      <c r="AA30" s="143">
        <f aca="true" t="shared" si="10" ref="AA30:AA37">(D30)/Z30*100</f>
        <v>17.261787480021866</v>
      </c>
      <c r="AB30" s="46">
        <f t="shared" si="5"/>
        <v>9870834</v>
      </c>
      <c r="AC30" s="38">
        <v>7053926</v>
      </c>
      <c r="AD30" s="38">
        <v>2816908</v>
      </c>
      <c r="AF30" s="160">
        <v>9870834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6">
        <v>4</v>
      </c>
      <c r="D31" s="71">
        <f>AB31+AB29</f>
        <v>4786158</v>
      </c>
      <c r="E31" s="8"/>
      <c r="F31" s="8">
        <f t="shared" si="7"/>
        <v>4786158</v>
      </c>
      <c r="G31" s="208">
        <f t="shared" si="1"/>
        <v>6413401</v>
      </c>
      <c r="H31" s="30">
        <v>6413401</v>
      </c>
      <c r="I31" s="85">
        <f t="shared" si="9"/>
        <v>8999073</v>
      </c>
      <c r="J31" s="30">
        <v>8999073</v>
      </c>
      <c r="K31" s="8">
        <f t="shared" si="8"/>
        <v>1509375</v>
      </c>
      <c r="L31" s="30">
        <v>1509375</v>
      </c>
      <c r="M31" s="8"/>
      <c r="N31" s="85">
        <f t="shared" si="2"/>
        <v>10189727</v>
      </c>
      <c r="O31" s="71"/>
      <c r="P31" s="30">
        <v>10189727</v>
      </c>
      <c r="Q31" s="71"/>
      <c r="R31" s="71"/>
      <c r="S31" s="71">
        <f>T31+U31</f>
        <v>0</v>
      </c>
      <c r="T31" s="71">
        <v>0</v>
      </c>
      <c r="U31" s="71"/>
      <c r="V31" s="8">
        <v>5001245</v>
      </c>
      <c r="W31" s="8">
        <v>5343</v>
      </c>
      <c r="X31" s="8"/>
      <c r="Y31" s="35">
        <f t="shared" si="4"/>
        <v>32118164</v>
      </c>
      <c r="Z31" s="36">
        <f t="shared" si="0"/>
        <v>36904322</v>
      </c>
      <c r="AA31" s="143">
        <f t="shared" si="10"/>
        <v>12.969098849722805</v>
      </c>
      <c r="AB31" s="46">
        <f t="shared" si="5"/>
        <v>3419128</v>
      </c>
      <c r="AC31" s="38">
        <v>2603765</v>
      </c>
      <c r="AD31" s="38">
        <v>815363</v>
      </c>
      <c r="AF31" s="160">
        <v>3419128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6">
        <v>5</v>
      </c>
      <c r="D32" s="71">
        <f>AB32+AB9</f>
        <v>3545534</v>
      </c>
      <c r="E32" s="8"/>
      <c r="F32" s="8">
        <f t="shared" si="7"/>
        <v>3545534</v>
      </c>
      <c r="G32" s="208">
        <f t="shared" si="1"/>
        <v>8726562</v>
      </c>
      <c r="H32" s="30">
        <v>8726562</v>
      </c>
      <c r="I32" s="85">
        <f t="shared" si="9"/>
        <v>11165667</v>
      </c>
      <c r="J32" s="30">
        <v>11165667</v>
      </c>
      <c r="K32" s="8">
        <f t="shared" si="8"/>
        <v>2982409</v>
      </c>
      <c r="L32" s="8"/>
      <c r="M32" s="30">
        <v>2982409</v>
      </c>
      <c r="N32" s="8">
        <f t="shared" si="2"/>
        <v>2203390</v>
      </c>
      <c r="O32" s="30">
        <v>2203390</v>
      </c>
      <c r="P32" s="71"/>
      <c r="Q32" s="71"/>
      <c r="R32" s="71"/>
      <c r="S32" s="94">
        <f>T32+U32</f>
        <v>6041754</v>
      </c>
      <c r="T32" s="30">
        <v>6041754</v>
      </c>
      <c r="U32" s="71"/>
      <c r="V32" s="85">
        <v>3570869</v>
      </c>
      <c r="W32" s="8">
        <v>16506</v>
      </c>
      <c r="X32" s="8"/>
      <c r="Y32" s="35">
        <f t="shared" si="4"/>
        <v>34707157</v>
      </c>
      <c r="Z32" s="36">
        <f t="shared" si="0"/>
        <v>38252691</v>
      </c>
      <c r="AA32" s="143">
        <f t="shared" si="10"/>
        <v>9.268717853078625</v>
      </c>
      <c r="AB32" s="46">
        <f t="shared" si="5"/>
        <v>3346791</v>
      </c>
      <c r="AC32" s="38">
        <v>1662518</v>
      </c>
      <c r="AD32" s="38">
        <v>1684273</v>
      </c>
      <c r="AF32" s="160">
        <v>3346791</v>
      </c>
      <c r="AG32" s="23">
        <v>2055457</v>
      </c>
      <c r="AI32" s="2">
        <v>5199733</v>
      </c>
      <c r="AJ32" s="23">
        <f t="shared" si="6"/>
        <v>-842021</v>
      </c>
    </row>
    <row r="33" spans="1:36" ht="15">
      <c r="A33" s="5">
        <v>25</v>
      </c>
      <c r="B33" s="6" t="s">
        <v>45</v>
      </c>
      <c r="C33" s="86">
        <v>4</v>
      </c>
      <c r="D33" s="71">
        <f>AB33</f>
        <v>2286702</v>
      </c>
      <c r="E33" s="8"/>
      <c r="F33" s="8">
        <f t="shared" si="7"/>
        <v>2286702</v>
      </c>
      <c r="G33" s="208">
        <f t="shared" si="1"/>
        <v>3579518</v>
      </c>
      <c r="H33" s="30">
        <v>3579518</v>
      </c>
      <c r="I33" s="85">
        <f t="shared" si="9"/>
        <v>4084284</v>
      </c>
      <c r="J33" s="30">
        <v>4084284</v>
      </c>
      <c r="K33" s="8">
        <f t="shared" si="8"/>
        <v>1858443</v>
      </c>
      <c r="L33" s="30">
        <v>1858443</v>
      </c>
      <c r="M33" s="8"/>
      <c r="N33" s="8">
        <f t="shared" si="2"/>
        <v>1153806</v>
      </c>
      <c r="O33" s="30">
        <v>1153806</v>
      </c>
      <c r="P33" s="71"/>
      <c r="Q33" s="71"/>
      <c r="R33" s="71"/>
      <c r="S33" s="94">
        <f>T33+U33</f>
        <v>3565250</v>
      </c>
      <c r="T33" s="30">
        <v>3565250</v>
      </c>
      <c r="U33" s="71"/>
      <c r="V33" s="8">
        <v>1774330</v>
      </c>
      <c r="W33" s="8">
        <v>12</v>
      </c>
      <c r="X33" s="8"/>
      <c r="Y33" s="35">
        <f t="shared" si="4"/>
        <v>16015643</v>
      </c>
      <c r="Z33" s="36">
        <f t="shared" si="0"/>
        <v>18302345</v>
      </c>
      <c r="AA33" s="143">
        <f t="shared" si="10"/>
        <v>12.494038332246497</v>
      </c>
      <c r="AB33" s="46">
        <f t="shared" si="5"/>
        <v>2286702</v>
      </c>
      <c r="AC33" s="38">
        <v>2286702</v>
      </c>
      <c r="AD33" s="38">
        <v>0</v>
      </c>
      <c r="AF33" s="160">
        <v>2286702</v>
      </c>
      <c r="AG33" s="23">
        <v>1755860</v>
      </c>
      <c r="AI33" s="2">
        <v>3788404</v>
      </c>
      <c r="AJ33" s="23">
        <f t="shared" si="6"/>
        <v>223154</v>
      </c>
    </row>
    <row r="34" spans="1:36" ht="15">
      <c r="A34" s="5">
        <v>26</v>
      </c>
      <c r="B34" s="6" t="s">
        <v>46</v>
      </c>
      <c r="C34" s="86">
        <v>4</v>
      </c>
      <c r="D34" s="71">
        <f>AB34</f>
        <v>1574045</v>
      </c>
      <c r="E34" s="8"/>
      <c r="F34" s="8">
        <f t="shared" si="7"/>
        <v>1574045</v>
      </c>
      <c r="G34" s="208">
        <f t="shared" si="1"/>
        <v>3630934</v>
      </c>
      <c r="H34" s="30">
        <v>3630934</v>
      </c>
      <c r="I34" s="85">
        <f t="shared" si="9"/>
        <v>2091411</v>
      </c>
      <c r="J34" s="30">
        <v>2091411</v>
      </c>
      <c r="K34" s="85">
        <f t="shared" si="8"/>
        <v>3775087</v>
      </c>
      <c r="L34" s="30">
        <v>3775087</v>
      </c>
      <c r="M34" s="8"/>
      <c r="N34" s="8">
        <f t="shared" si="2"/>
        <v>0</v>
      </c>
      <c r="O34" s="71">
        <v>0</v>
      </c>
      <c r="P34" s="71"/>
      <c r="Q34" s="71"/>
      <c r="R34" s="71"/>
      <c r="S34" s="71">
        <f t="shared" si="3"/>
        <v>0</v>
      </c>
      <c r="T34" s="71"/>
      <c r="U34" s="71"/>
      <c r="V34" s="8"/>
      <c r="W34" s="8"/>
      <c r="X34" s="8"/>
      <c r="Y34" s="35">
        <f t="shared" si="4"/>
        <v>9497432</v>
      </c>
      <c r="Z34" s="36">
        <f t="shared" si="0"/>
        <v>11071477</v>
      </c>
      <c r="AA34" s="143">
        <f t="shared" si="10"/>
        <v>14.217118456733461</v>
      </c>
      <c r="AB34" s="46">
        <f t="shared" si="5"/>
        <v>1574045</v>
      </c>
      <c r="AC34" s="38">
        <v>1530590</v>
      </c>
      <c r="AD34" s="38">
        <v>43455</v>
      </c>
      <c r="AF34" s="160">
        <v>1574045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1">
        <f aca="true" t="shared" si="11" ref="D35:Z35">SUM(D9:D34)</f>
        <v>97092777</v>
      </c>
      <c r="E35" s="8">
        <f t="shared" si="11"/>
        <v>0</v>
      </c>
      <c r="F35" s="8">
        <f t="shared" si="11"/>
        <v>97092777</v>
      </c>
      <c r="G35" s="85">
        <f t="shared" si="11"/>
        <v>169395640</v>
      </c>
      <c r="H35" s="8">
        <f>SUM(H9:H34)</f>
        <v>169395640</v>
      </c>
      <c r="I35" s="85">
        <f>SUM(I9:I34)</f>
        <v>132866817</v>
      </c>
      <c r="J35" s="95">
        <f t="shared" si="11"/>
        <v>132866817</v>
      </c>
      <c r="K35" s="8">
        <f t="shared" si="11"/>
        <v>59004470</v>
      </c>
      <c r="L35" s="8">
        <f t="shared" si="11"/>
        <v>38348301</v>
      </c>
      <c r="M35" s="8">
        <f>SUM(M9:M34)</f>
        <v>20656169</v>
      </c>
      <c r="N35" s="85">
        <f t="shared" si="11"/>
        <v>106492157</v>
      </c>
      <c r="O35" s="71">
        <f t="shared" si="11"/>
        <v>61665248</v>
      </c>
      <c r="P35" s="71">
        <f t="shared" si="11"/>
        <v>21501679</v>
      </c>
      <c r="Q35" s="71">
        <f t="shared" si="11"/>
        <v>11940931</v>
      </c>
      <c r="R35" s="71">
        <f>SUM(R9:R34)</f>
        <v>11384299</v>
      </c>
      <c r="S35" s="71">
        <f t="shared" si="11"/>
        <v>32943182</v>
      </c>
      <c r="T35" s="71">
        <f t="shared" si="11"/>
        <v>32943182</v>
      </c>
      <c r="U35" s="71">
        <f>SUM(U9:U34)</f>
        <v>0</v>
      </c>
      <c r="V35" s="8">
        <f t="shared" si="11"/>
        <v>39678780</v>
      </c>
      <c r="W35" s="8">
        <f t="shared" si="11"/>
        <v>3215161</v>
      </c>
      <c r="X35" s="8"/>
      <c r="Y35" s="8">
        <f t="shared" si="11"/>
        <v>543596207</v>
      </c>
      <c r="Z35" s="8">
        <f t="shared" si="11"/>
        <v>640688984</v>
      </c>
      <c r="AA35" s="143">
        <f t="shared" si="10"/>
        <v>15.154432091811962</v>
      </c>
      <c r="AB35" s="8">
        <f aca="true" t="shared" si="12" ref="AB35:AG35">SUM(AB9:AB34)</f>
        <v>97092777</v>
      </c>
      <c r="AC35" s="326">
        <f t="shared" si="12"/>
        <v>64822260</v>
      </c>
      <c r="AD35" s="8">
        <f t="shared" si="12"/>
        <v>32270517</v>
      </c>
      <c r="AE35" s="8">
        <f t="shared" si="12"/>
        <v>0</v>
      </c>
      <c r="AF35" s="8">
        <f t="shared" si="12"/>
        <v>97092777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1"/>
      <c r="E36" s="71">
        <v>2506210</v>
      </c>
      <c r="F36" s="8">
        <f t="shared" si="7"/>
        <v>2506210</v>
      </c>
      <c r="G36" s="10">
        <f t="shared" si="1"/>
        <v>9027895</v>
      </c>
      <c r="H36" s="30">
        <v>9027895</v>
      </c>
      <c r="I36" s="8">
        <f t="shared" si="9"/>
        <v>8449120</v>
      </c>
      <c r="J36" s="30">
        <v>8449120</v>
      </c>
      <c r="K36" s="8">
        <f t="shared" si="8"/>
        <v>2951145</v>
      </c>
      <c r="L36" s="30">
        <v>2951145</v>
      </c>
      <c r="M36" s="8"/>
      <c r="N36" s="8">
        <f>O36+P36+Q36</f>
        <v>4650742</v>
      </c>
      <c r="O36" s="30">
        <v>4650742</v>
      </c>
      <c r="P36" s="71"/>
      <c r="Q36" s="71"/>
      <c r="R36" s="71"/>
      <c r="S36" s="71">
        <f t="shared" si="3"/>
        <v>0</v>
      </c>
      <c r="T36" s="71"/>
      <c r="U36" s="71"/>
      <c r="V36" s="8"/>
      <c r="W36" s="8"/>
      <c r="X36" s="8"/>
      <c r="Y36" s="35">
        <f t="shared" si="4"/>
        <v>25078902</v>
      </c>
      <c r="Z36" s="36">
        <f>Y36+F36</f>
        <v>27585112</v>
      </c>
      <c r="AA36" s="143">
        <f t="shared" si="10"/>
        <v>0</v>
      </c>
      <c r="AE36" s="23">
        <f>E36</f>
        <v>2506210</v>
      </c>
      <c r="AF36" s="160">
        <f>AE36+Y36</f>
        <v>27585112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1"/>
      <c r="E37" s="71">
        <v>2612969</v>
      </c>
      <c r="F37" s="8">
        <f t="shared" si="7"/>
        <v>2612969</v>
      </c>
      <c r="G37" s="10">
        <f t="shared" si="1"/>
        <v>3483357</v>
      </c>
      <c r="H37" s="30">
        <v>3483357</v>
      </c>
      <c r="I37" s="8">
        <f t="shared" si="9"/>
        <v>6160353</v>
      </c>
      <c r="J37" s="30">
        <v>6160353</v>
      </c>
      <c r="K37" s="8">
        <f t="shared" si="8"/>
        <v>1391669</v>
      </c>
      <c r="L37" s="30">
        <v>1391669</v>
      </c>
      <c r="M37" s="8"/>
      <c r="N37" s="8">
        <f>O37+P37+Q37</f>
        <v>2803928</v>
      </c>
      <c r="O37" s="30">
        <v>2803928</v>
      </c>
      <c r="P37" s="71"/>
      <c r="Q37" s="71"/>
      <c r="R37" s="71"/>
      <c r="S37" s="71">
        <f t="shared" si="3"/>
        <v>0</v>
      </c>
      <c r="T37" s="71"/>
      <c r="U37" s="71"/>
      <c r="V37" s="71">
        <v>1841764</v>
      </c>
      <c r="W37" s="71">
        <v>425151</v>
      </c>
      <c r="X37" s="71">
        <v>3028539</v>
      </c>
      <c r="Y37" s="35">
        <f t="shared" si="4"/>
        <v>19134761</v>
      </c>
      <c r="Z37" s="36">
        <f>Y37+F37</f>
        <v>21747730</v>
      </c>
      <c r="AA37" s="143">
        <f t="shared" si="10"/>
        <v>0</v>
      </c>
      <c r="AC37" s="159"/>
      <c r="AD37" s="159"/>
      <c r="AE37" s="23">
        <f>E37</f>
        <v>2612969</v>
      </c>
      <c r="AF37" s="160">
        <f>AE37+Y37</f>
        <v>21747730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1">
        <f aca="true" t="shared" si="13" ref="D38:W38">SUM(D35:D37)</f>
        <v>97092777</v>
      </c>
      <c r="E38" s="71">
        <f t="shared" si="13"/>
        <v>5119179</v>
      </c>
      <c r="F38" s="8">
        <f t="shared" si="13"/>
        <v>102211956</v>
      </c>
      <c r="G38" s="71">
        <f>SUM(G35:G37)</f>
        <v>181906892</v>
      </c>
      <c r="H38" s="71">
        <f>SUM(H35:H37)</f>
        <v>181906892</v>
      </c>
      <c r="I38" s="71">
        <f>SUM(I35:I37)</f>
        <v>147476290</v>
      </c>
      <c r="J38" s="71">
        <f t="shared" si="13"/>
        <v>147476290</v>
      </c>
      <c r="K38" s="8">
        <f t="shared" si="8"/>
        <v>63347284</v>
      </c>
      <c r="L38" s="71">
        <f t="shared" si="13"/>
        <v>42691115</v>
      </c>
      <c r="M38" s="71">
        <f>SUM(M35:M37)</f>
        <v>20656169</v>
      </c>
      <c r="N38" s="71">
        <f t="shared" si="13"/>
        <v>113946827</v>
      </c>
      <c r="O38" s="71">
        <f t="shared" si="13"/>
        <v>69119918</v>
      </c>
      <c r="P38" s="71">
        <f t="shared" si="13"/>
        <v>21501679</v>
      </c>
      <c r="Q38" s="71">
        <f t="shared" si="13"/>
        <v>11940931</v>
      </c>
      <c r="R38" s="71">
        <f>SUM(R35:R37)</f>
        <v>11384299</v>
      </c>
      <c r="S38" s="71">
        <f t="shared" si="13"/>
        <v>32943182</v>
      </c>
      <c r="T38" s="71">
        <f t="shared" si="13"/>
        <v>32943182</v>
      </c>
      <c r="U38" s="71">
        <f>SUM(U35:U37)</f>
        <v>0</v>
      </c>
      <c r="V38" s="71">
        <f t="shared" si="13"/>
        <v>41520544</v>
      </c>
      <c r="W38" s="71">
        <f t="shared" si="13"/>
        <v>3640312</v>
      </c>
      <c r="X38" s="71">
        <f>SUM(X35:X37)</f>
        <v>3028539</v>
      </c>
      <c r="Y38" s="8">
        <f>SUM(Y35:Y37)</f>
        <v>587809870</v>
      </c>
      <c r="Z38" s="8">
        <f>SUM(Z35:Z37)</f>
        <v>690021826</v>
      </c>
      <c r="AA38" s="143">
        <f>(D38)/Z38*100</f>
        <v>14.070971865171117</v>
      </c>
      <c r="AB38" s="23"/>
      <c r="AC38" s="23"/>
      <c r="AE38" s="8">
        <f>SUM(AE35:AE37)</f>
        <v>5119179</v>
      </c>
      <c r="AF38" s="8">
        <f>SUM(AF35:AF37)</f>
        <v>146425619</v>
      </c>
      <c r="AG38" s="23"/>
      <c r="AI38" s="2">
        <f>SUM(AI10:AI37)</f>
        <v>110806333</v>
      </c>
    </row>
    <row r="39" spans="1:35" ht="15">
      <c r="A39" s="108" t="s">
        <v>51</v>
      </c>
      <c r="B39" s="109"/>
      <c r="C39" s="109"/>
      <c r="D39" s="140">
        <f>D38/Z38*100</f>
        <v>14.070971865171117</v>
      </c>
      <c r="E39" s="140">
        <f>E38/Z38*100</f>
        <v>0.7418865327312124</v>
      </c>
      <c r="F39" s="146">
        <f>F38/Z38*100</f>
        <v>14.812858397902328</v>
      </c>
      <c r="G39" s="140">
        <f>G38/Z38*100</f>
        <v>26.362483786128816</v>
      </c>
      <c r="H39" s="140">
        <f>H38/Z38</f>
        <v>0.26362483786128815</v>
      </c>
      <c r="I39" s="140">
        <f>I38/Z38*100</f>
        <v>21.372699303572464</v>
      </c>
      <c r="J39" s="140">
        <f>J38/Z38*100</f>
        <v>21.372699303572464</v>
      </c>
      <c r="K39" s="140">
        <f>K38/Z38*100</f>
        <v>9.180475401367955</v>
      </c>
      <c r="L39" s="140">
        <f>L38/Z38*100</f>
        <v>6.186922411929619</v>
      </c>
      <c r="M39" s="140">
        <f>M38/Z38*100</f>
        <v>2.993552989438337</v>
      </c>
      <c r="N39" s="140">
        <f>N38/Z38*100</f>
        <v>16.51351054509977</v>
      </c>
      <c r="O39" s="140">
        <f>O38/Z38</f>
        <v>0.10017062561728302</v>
      </c>
      <c r="P39" s="140">
        <f>P38/Z38</f>
        <v>0.031160867946226384</v>
      </c>
      <c r="Q39" s="140">
        <f>Q38/Z38</f>
        <v>0.01730514970696014</v>
      </c>
      <c r="R39" s="140">
        <f>R38/Z38*100</f>
        <v>1.6498462180528184</v>
      </c>
      <c r="S39" s="140">
        <f>S38/Z38*100</f>
        <v>4.774223185224289</v>
      </c>
      <c r="T39" s="140"/>
      <c r="U39" s="140">
        <f>U38/Z38</f>
        <v>0</v>
      </c>
      <c r="V39" s="140">
        <f>V38/Z38*100</f>
        <v>6.017279807030336</v>
      </c>
      <c r="W39" s="140">
        <f>W38/Z38*100</f>
        <v>0.5275647614079964</v>
      </c>
      <c r="X39" s="140">
        <f>X38/Z38*100</f>
        <v>0.4389048122660398</v>
      </c>
      <c r="Y39" s="140">
        <f>Y38/Z38*100</f>
        <v>85.18714160209767</v>
      </c>
      <c r="Z39" s="140">
        <f>Z38/Z38*100</f>
        <v>100</v>
      </c>
      <c r="AA39" s="140"/>
      <c r="AB39" s="23"/>
      <c r="AC39" s="23"/>
      <c r="AF39" s="2">
        <v>257845498</v>
      </c>
      <c r="AI39" s="23"/>
    </row>
    <row r="40" spans="1:27" ht="27.75" customHeight="1" hidden="1">
      <c r="A40" s="113"/>
      <c r="B40" s="116" t="s">
        <v>108</v>
      </c>
      <c r="C40" s="117"/>
      <c r="D40" s="114">
        <f>D35/Z35</f>
        <v>0.15154432091811962</v>
      </c>
      <c r="E40" s="114">
        <f>E35/Z35</f>
        <v>0</v>
      </c>
      <c r="F40" s="114">
        <f>F35/Z35</f>
        <v>0.15154432091811962</v>
      </c>
      <c r="G40" s="114">
        <f>G35/Z35</f>
        <v>0.264396055231691</v>
      </c>
      <c r="H40" s="114">
        <f>H35/Z35</f>
        <v>0.264396055231691</v>
      </c>
      <c r="I40" s="114">
        <f>I35/Z35</f>
        <v>0.2073811479799066</v>
      </c>
      <c r="J40" s="114">
        <f>J35/Z35</f>
        <v>0.2073811479799066</v>
      </c>
      <c r="K40" s="114">
        <f>K35/Z35</f>
        <v>0.09209534028760513</v>
      </c>
      <c r="L40" s="114">
        <f>L35/Z35</f>
        <v>0.05985478439254701</v>
      </c>
      <c r="M40" s="114"/>
      <c r="N40" s="114">
        <f>N35/Z35</f>
        <v>0.1662150585688859</v>
      </c>
      <c r="O40" s="114">
        <f>O35/Z35</f>
        <v>0.0962483350579975</v>
      </c>
      <c r="P40" s="114">
        <f>P35/Z35</f>
        <v>0.033560244575705084</v>
      </c>
      <c r="Q40" s="114">
        <f>Q35/Z35</f>
        <v>0.01863764056851647</v>
      </c>
      <c r="R40" s="114">
        <f>R35/Z35</f>
        <v>0.017768838366666845</v>
      </c>
      <c r="S40" s="114"/>
      <c r="T40" s="114">
        <f>T35/Z35</f>
        <v>0.05141836807357999</v>
      </c>
      <c r="U40" s="114"/>
      <c r="V40" s="114"/>
      <c r="W40" s="114"/>
      <c r="X40" s="114" t="e">
        <f>X35/AE35</f>
        <v>#DIV/0!</v>
      </c>
      <c r="Y40" s="114">
        <f>Y35/Z35</f>
        <v>0.8484556790818804</v>
      </c>
      <c r="Z40" s="114">
        <f>Z35/Z35</f>
        <v>1</v>
      </c>
      <c r="AA40" s="144"/>
    </row>
    <row r="41" spans="1:32" ht="14.25">
      <c r="A41" s="102"/>
      <c r="B41" s="118"/>
      <c r="C41" s="118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41"/>
      <c r="AC41" s="23"/>
      <c r="AF41" s="23">
        <f>AF39-AF38</f>
        <v>111419879</v>
      </c>
    </row>
    <row r="42" spans="1:31" ht="14.25">
      <c r="A42" s="108" t="str">
        <f>'Anne-5'!A42</f>
        <v>Conn. As on 30.11.2012</v>
      </c>
      <c r="B42" s="109"/>
      <c r="C42" s="119">
        <v>4</v>
      </c>
      <c r="D42" s="8">
        <v>96914372</v>
      </c>
      <c r="E42" s="8">
        <v>5121432</v>
      </c>
      <c r="F42" s="8">
        <v>102035804</v>
      </c>
      <c r="G42" s="8">
        <v>183610883</v>
      </c>
      <c r="H42" s="8">
        <v>183610883</v>
      </c>
      <c r="I42" s="8">
        <v>150765055</v>
      </c>
      <c r="J42" s="8">
        <v>150765055</v>
      </c>
      <c r="K42" s="8">
        <v>65323317</v>
      </c>
      <c r="L42" s="8">
        <v>44249179</v>
      </c>
      <c r="M42" s="8">
        <v>21074138</v>
      </c>
      <c r="N42" s="8">
        <v>114144058</v>
      </c>
      <c r="O42" s="8">
        <v>69339673</v>
      </c>
      <c r="P42" s="8">
        <v>21456172</v>
      </c>
      <c r="Q42" s="8">
        <v>11965433</v>
      </c>
      <c r="R42" s="8">
        <v>11382780</v>
      </c>
      <c r="S42" s="8">
        <v>33162194</v>
      </c>
      <c r="T42" s="8">
        <v>33162194</v>
      </c>
      <c r="U42" s="8">
        <v>0</v>
      </c>
      <c r="V42" s="8">
        <v>40601992</v>
      </c>
      <c r="W42" s="8">
        <v>4012265</v>
      </c>
      <c r="X42" s="8">
        <v>3028539</v>
      </c>
      <c r="Y42" s="35">
        <v>594648303</v>
      </c>
      <c r="Z42" s="36">
        <v>696684107</v>
      </c>
      <c r="AA42" s="143">
        <f>(D42)/Z42*100</f>
        <v>13.910805632889225</v>
      </c>
      <c r="AC42" s="320"/>
      <c r="AE42" s="23"/>
    </row>
    <row r="43" spans="1:29" ht="14.25">
      <c r="A43" s="108" t="str">
        <f>'Anne-5'!A43</f>
        <v>Addition during Dec 2012</v>
      </c>
      <c r="B43" s="109"/>
      <c r="C43" s="119">
        <v>2</v>
      </c>
      <c r="D43" s="8">
        <f aca="true" t="shared" si="14" ref="D43:W43">D38-D42</f>
        <v>178405</v>
      </c>
      <c r="E43" s="8">
        <f t="shared" si="14"/>
        <v>-2253</v>
      </c>
      <c r="F43" s="8">
        <f t="shared" si="14"/>
        <v>176152</v>
      </c>
      <c r="G43" s="8">
        <f t="shared" si="14"/>
        <v>-1703991</v>
      </c>
      <c r="H43" s="8">
        <f t="shared" si="14"/>
        <v>-1703991</v>
      </c>
      <c r="I43" s="8">
        <f t="shared" si="14"/>
        <v>-3288765</v>
      </c>
      <c r="J43" s="8">
        <f t="shared" si="14"/>
        <v>-3288765</v>
      </c>
      <c r="K43" s="8">
        <f t="shared" si="14"/>
        <v>-1976033</v>
      </c>
      <c r="L43" s="8">
        <f t="shared" si="14"/>
        <v>-1558064</v>
      </c>
      <c r="M43" s="8">
        <f t="shared" si="14"/>
        <v>-417969</v>
      </c>
      <c r="N43" s="8">
        <f t="shared" si="14"/>
        <v>-197231</v>
      </c>
      <c r="O43" s="8">
        <f t="shared" si="14"/>
        <v>-219755</v>
      </c>
      <c r="P43" s="8">
        <f t="shared" si="14"/>
        <v>45507</v>
      </c>
      <c r="Q43" s="8">
        <f t="shared" si="14"/>
        <v>-24502</v>
      </c>
      <c r="R43" s="8">
        <f>R38-R42</f>
        <v>1519</v>
      </c>
      <c r="S43" s="8">
        <f t="shared" si="14"/>
        <v>-219012</v>
      </c>
      <c r="T43" s="8">
        <f t="shared" si="14"/>
        <v>-219012</v>
      </c>
      <c r="U43" s="8">
        <f t="shared" si="14"/>
        <v>0</v>
      </c>
      <c r="V43" s="8">
        <f t="shared" si="14"/>
        <v>918552</v>
      </c>
      <c r="W43" s="8">
        <f t="shared" si="14"/>
        <v>-371953</v>
      </c>
      <c r="X43" s="8">
        <f>X38-X42</f>
        <v>0</v>
      </c>
      <c r="Y43" s="8">
        <f>Y38-Y42</f>
        <v>-6838433</v>
      </c>
      <c r="Z43" s="8">
        <f>Z38-Z42</f>
        <v>-6662281</v>
      </c>
      <c r="AA43" s="430" t="s">
        <v>130</v>
      </c>
      <c r="AB43" s="23"/>
      <c r="AC43" s="23"/>
    </row>
    <row r="44" spans="1:30" ht="14.25">
      <c r="A44" s="108" t="str">
        <f>'Anne-5'!A44</f>
        <v>Conn. As on 31.03.2012</v>
      </c>
      <c r="B44" s="111"/>
      <c r="C44" s="4">
        <v>4</v>
      </c>
      <c r="D44" s="8">
        <v>94509074</v>
      </c>
      <c r="E44" s="8">
        <v>5593378</v>
      </c>
      <c r="F44" s="8">
        <v>100102452</v>
      </c>
      <c r="G44" s="8">
        <v>181279296</v>
      </c>
      <c r="H44" s="8">
        <v>181279296</v>
      </c>
      <c r="I44" s="8">
        <v>150465330</v>
      </c>
      <c r="J44" s="8">
        <v>150465330</v>
      </c>
      <c r="K44" s="8">
        <v>62572579</v>
      </c>
      <c r="L44" s="8">
        <v>40986365</v>
      </c>
      <c r="M44" s="8">
        <v>21586214</v>
      </c>
      <c r="N44" s="8">
        <v>112722692</v>
      </c>
      <c r="O44" s="8">
        <v>67819039</v>
      </c>
      <c r="P44" s="8">
        <v>21523697</v>
      </c>
      <c r="Q44" s="8">
        <v>12267856</v>
      </c>
      <c r="R44" s="8">
        <v>11112100</v>
      </c>
      <c r="S44" s="8">
        <v>31840536</v>
      </c>
      <c r="T44" s="8">
        <v>31840536</v>
      </c>
      <c r="U44" s="8">
        <v>0</v>
      </c>
      <c r="V44" s="8">
        <v>42431924</v>
      </c>
      <c r="W44" s="8">
        <v>5951588</v>
      </c>
      <c r="X44" s="8">
        <v>3267241</v>
      </c>
      <c r="Y44" s="8">
        <v>595654147</v>
      </c>
      <c r="Z44" s="8">
        <v>695756599</v>
      </c>
      <c r="AA44" s="145">
        <f>(D44)/Z44*100</f>
        <v>13.583640332817023</v>
      </c>
      <c r="AD44" s="23"/>
    </row>
    <row r="45" spans="1:30" ht="14.25">
      <c r="A45" s="108" t="str">
        <f>'Anne-5'!A45</f>
        <v>Addition during 2012-13</v>
      </c>
      <c r="B45" s="109"/>
      <c r="C45" s="4">
        <v>1</v>
      </c>
      <c r="D45" s="8">
        <f>D38-D44</f>
        <v>2583703</v>
      </c>
      <c r="E45" s="8">
        <f aca="true" t="shared" si="15" ref="E45:Z45">E38-E44</f>
        <v>-474199</v>
      </c>
      <c r="F45" s="8">
        <f t="shared" si="15"/>
        <v>2109504</v>
      </c>
      <c r="G45" s="8">
        <f t="shared" si="15"/>
        <v>627596</v>
      </c>
      <c r="H45" s="8">
        <f t="shared" si="15"/>
        <v>627596</v>
      </c>
      <c r="I45" s="8">
        <f t="shared" si="15"/>
        <v>-2989040</v>
      </c>
      <c r="J45" s="8">
        <f t="shared" si="15"/>
        <v>-2989040</v>
      </c>
      <c r="K45" s="8">
        <f t="shared" si="15"/>
        <v>774705</v>
      </c>
      <c r="L45" s="8">
        <f t="shared" si="15"/>
        <v>1704750</v>
      </c>
      <c r="M45" s="8">
        <f t="shared" si="15"/>
        <v>-930045</v>
      </c>
      <c r="N45" s="8">
        <f t="shared" si="15"/>
        <v>1224135</v>
      </c>
      <c r="O45" s="8">
        <f t="shared" si="15"/>
        <v>1300879</v>
      </c>
      <c r="P45" s="8">
        <f t="shared" si="15"/>
        <v>-22018</v>
      </c>
      <c r="Q45" s="8">
        <f t="shared" si="15"/>
        <v>-326925</v>
      </c>
      <c r="R45" s="8">
        <f>R38-R44</f>
        <v>272199</v>
      </c>
      <c r="S45" s="8">
        <f t="shared" si="15"/>
        <v>1102646</v>
      </c>
      <c r="T45" s="8">
        <f t="shared" si="15"/>
        <v>1102646</v>
      </c>
      <c r="U45" s="8">
        <f t="shared" si="15"/>
        <v>0</v>
      </c>
      <c r="V45" s="8">
        <f t="shared" si="15"/>
        <v>-911380</v>
      </c>
      <c r="W45" s="8">
        <f t="shared" si="15"/>
        <v>-2311276</v>
      </c>
      <c r="X45" s="8">
        <f>X38-X44</f>
        <v>-238702</v>
      </c>
      <c r="Y45" s="8">
        <f t="shared" si="15"/>
        <v>-7844277</v>
      </c>
      <c r="Z45" s="8">
        <f t="shared" si="15"/>
        <v>-5734773</v>
      </c>
      <c r="AA45" s="430" t="s">
        <v>130</v>
      </c>
      <c r="AB45" s="23"/>
      <c r="AC45" s="23"/>
      <c r="AD45" s="23"/>
    </row>
    <row r="46" spans="1:30" ht="15">
      <c r="A46" s="2" t="s">
        <v>195</v>
      </c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N48" s="23"/>
      <c r="S48" s="137"/>
      <c r="Z48" s="23"/>
    </row>
    <row r="49" spans="2:29" ht="15">
      <c r="B49" s="26"/>
      <c r="C49" s="26"/>
      <c r="D49" s="23"/>
      <c r="S49" s="23"/>
      <c r="T49" s="23"/>
      <c r="Y49" s="23"/>
      <c r="AC49" s="23"/>
    </row>
    <row r="50" spans="2:3" ht="15">
      <c r="B50" s="26"/>
      <c r="C50" s="26"/>
    </row>
    <row r="51" spans="20:29" ht="14.25"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642076739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SheetLayoutView="10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0" sqref="I40"/>
    </sheetView>
  </sheetViews>
  <sheetFormatPr defaultColWidth="9.140625" defaultRowHeight="12.75"/>
  <cols>
    <col min="1" max="1" width="6.140625" style="333" customWidth="1"/>
    <col min="2" max="2" width="24.140625" style="333" customWidth="1"/>
    <col min="3" max="3" width="6.7109375" style="333" customWidth="1"/>
    <col min="4" max="4" width="12.140625" style="333" customWidth="1"/>
    <col min="5" max="5" width="10.140625" style="333" customWidth="1"/>
    <col min="6" max="6" width="12.00390625" style="333" customWidth="1"/>
    <col min="7" max="7" width="10.140625" style="333" customWidth="1"/>
    <col min="8" max="8" width="12.140625" style="333" customWidth="1"/>
    <col min="9" max="9" width="14.28125" style="338" customWidth="1"/>
    <col min="10" max="10" width="14.140625" style="333" customWidth="1"/>
    <col min="11" max="11" width="11.28125" style="333" customWidth="1"/>
    <col min="12" max="12" width="13.00390625" style="333" customWidth="1"/>
    <col min="13" max="14" width="14.28125" style="333" customWidth="1"/>
    <col min="15" max="15" width="11.8515625" style="333" customWidth="1"/>
    <col min="16" max="22" width="11.7109375" style="333" customWidth="1"/>
    <col min="23" max="23" width="10.140625" style="333" bestFit="1" customWidth="1"/>
    <col min="24" max="24" width="9.140625" style="333" customWidth="1"/>
    <col min="25" max="25" width="9.28125" style="333" customWidth="1"/>
    <col min="26" max="26" width="11.7109375" style="333" bestFit="1" customWidth="1"/>
    <col min="27" max="27" width="10.7109375" style="333" bestFit="1" customWidth="1"/>
    <col min="28" max="28" width="11.421875" style="333" customWidth="1"/>
    <col min="29" max="16384" width="9.140625" style="333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31st January 2013.</v>
      </c>
    </row>
    <row r="4" spans="2:3" ht="15.75">
      <c r="B4" s="29" t="s">
        <v>232</v>
      </c>
      <c r="C4" s="29"/>
    </row>
    <row r="5" spans="4:12" ht="15">
      <c r="D5" s="333">
        <v>1</v>
      </c>
      <c r="G5" s="333">
        <v>2</v>
      </c>
      <c r="I5" s="338">
        <v>3</v>
      </c>
      <c r="J5" s="333">
        <v>4</v>
      </c>
      <c r="K5" s="333">
        <v>5</v>
      </c>
      <c r="L5" s="333">
        <v>6</v>
      </c>
    </row>
    <row r="6" spans="1:22" ht="15" customHeight="1">
      <c r="A6" s="488" t="s">
        <v>19</v>
      </c>
      <c r="B6" s="488" t="s">
        <v>20</v>
      </c>
      <c r="C6" s="558" t="s">
        <v>118</v>
      </c>
      <c r="D6" s="562" t="s">
        <v>105</v>
      </c>
      <c r="E6" s="562"/>
      <c r="F6" s="562"/>
      <c r="G6" s="562"/>
      <c r="H6" s="562"/>
      <c r="I6" s="561" t="s">
        <v>187</v>
      </c>
      <c r="J6" s="561"/>
      <c r="K6" s="561"/>
      <c r="L6" s="561"/>
      <c r="M6" s="561"/>
      <c r="N6" s="566" t="s">
        <v>80</v>
      </c>
      <c r="O6" s="558" t="s">
        <v>120</v>
      </c>
      <c r="P6" s="465" t="s">
        <v>97</v>
      </c>
      <c r="Q6" s="488"/>
      <c r="R6" s="488"/>
      <c r="S6" s="488"/>
      <c r="T6" s="488"/>
      <c r="U6" s="488"/>
      <c r="V6" s="339"/>
    </row>
    <row r="7" spans="1:22" ht="18.75" customHeight="1">
      <c r="A7" s="488"/>
      <c r="B7" s="488"/>
      <c r="C7" s="559"/>
      <c r="D7" s="563" t="s">
        <v>1</v>
      </c>
      <c r="E7" s="563"/>
      <c r="F7" s="563"/>
      <c r="G7" s="564" t="s">
        <v>2</v>
      </c>
      <c r="H7" s="561" t="s">
        <v>89</v>
      </c>
      <c r="I7" s="565" t="s">
        <v>58</v>
      </c>
      <c r="J7" s="563" t="s">
        <v>59</v>
      </c>
      <c r="K7" s="569" t="s">
        <v>189</v>
      </c>
      <c r="L7" s="563" t="s">
        <v>190</v>
      </c>
      <c r="M7" s="567" t="s">
        <v>61</v>
      </c>
      <c r="N7" s="566"/>
      <c r="O7" s="559"/>
      <c r="P7" s="465" t="s">
        <v>98</v>
      </c>
      <c r="Q7" s="488"/>
      <c r="R7" s="488"/>
      <c r="S7" s="488" t="s">
        <v>6</v>
      </c>
      <c r="T7" s="488"/>
      <c r="U7" s="488"/>
      <c r="V7" s="339"/>
    </row>
    <row r="8" spans="1:22" ht="33.75" customHeight="1">
      <c r="A8" s="488"/>
      <c r="B8" s="488"/>
      <c r="C8" s="560"/>
      <c r="D8" s="364" t="s">
        <v>98</v>
      </c>
      <c r="E8" s="364" t="s">
        <v>6</v>
      </c>
      <c r="F8" s="364" t="s">
        <v>47</v>
      </c>
      <c r="G8" s="564"/>
      <c r="H8" s="561"/>
      <c r="I8" s="565"/>
      <c r="J8" s="563"/>
      <c r="K8" s="570"/>
      <c r="L8" s="563"/>
      <c r="M8" s="568"/>
      <c r="N8" s="566"/>
      <c r="O8" s="560"/>
      <c r="P8" s="53" t="s">
        <v>47</v>
      </c>
      <c r="Q8" s="411" t="s">
        <v>87</v>
      </c>
      <c r="R8" s="411" t="s">
        <v>88</v>
      </c>
      <c r="S8" s="412" t="s">
        <v>47</v>
      </c>
      <c r="T8" s="411" t="s">
        <v>87</v>
      </c>
      <c r="U8" s="411" t="s">
        <v>88</v>
      </c>
      <c r="V8" s="138"/>
    </row>
    <row r="9" spans="1:27" ht="17.25" customHeight="1">
      <c r="A9" s="340">
        <v>1</v>
      </c>
      <c r="B9" s="341" t="s">
        <v>21</v>
      </c>
      <c r="C9" s="341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4"/>
      <c r="P9" s="342">
        <f>Q9+R9</f>
        <v>5518</v>
      </c>
      <c r="Q9" s="447">
        <v>2483</v>
      </c>
      <c r="R9" s="343">
        <v>3035</v>
      </c>
      <c r="S9" s="343">
        <f>T9+U9</f>
        <v>6160</v>
      </c>
      <c r="T9" s="343">
        <v>4507</v>
      </c>
      <c r="U9" s="343">
        <v>1653</v>
      </c>
      <c r="V9" s="344"/>
      <c r="W9" s="317">
        <v>11678</v>
      </c>
      <c r="X9" s="317"/>
      <c r="Z9" s="345">
        <f>Q9+T9</f>
        <v>6990</v>
      </c>
      <c r="AA9" s="345">
        <f>R9+U9</f>
        <v>4688</v>
      </c>
    </row>
    <row r="10" spans="1:28" ht="15">
      <c r="A10" s="340">
        <v>2</v>
      </c>
      <c r="B10" s="341" t="s">
        <v>22</v>
      </c>
      <c r="C10" s="346">
        <v>4</v>
      </c>
      <c r="D10" s="365">
        <f>P10</f>
        <v>103265</v>
      </c>
      <c r="E10" s="365">
        <f>S10</f>
        <v>4739</v>
      </c>
      <c r="F10" s="365">
        <f>D10+E10</f>
        <v>108004</v>
      </c>
      <c r="G10" s="366"/>
      <c r="H10" s="366">
        <f>F10+G10</f>
        <v>108004</v>
      </c>
      <c r="I10" s="367">
        <v>6809259</v>
      </c>
      <c r="J10" s="367">
        <v>6898277</v>
      </c>
      <c r="K10" s="367"/>
      <c r="L10" s="367">
        <v>679838</v>
      </c>
      <c r="M10" s="366">
        <f>I10+K10+J10+L10</f>
        <v>14387374</v>
      </c>
      <c r="N10" s="366">
        <f>M10+H10</f>
        <v>14495378</v>
      </c>
      <c r="O10" s="142">
        <f>F10/N10*100</f>
        <v>0.7450926771278403</v>
      </c>
      <c r="P10" s="347">
        <f aca="true" t="shared" si="0" ref="P10:P34">Q10+R10</f>
        <v>103265</v>
      </c>
      <c r="Q10" s="447">
        <v>13498</v>
      </c>
      <c r="R10" s="343">
        <v>89767</v>
      </c>
      <c r="S10" s="185">
        <f aca="true" t="shared" si="1" ref="S10:S23">T10+U10</f>
        <v>4739</v>
      </c>
      <c r="T10" s="343">
        <v>3426</v>
      </c>
      <c r="U10" s="343">
        <v>1313</v>
      </c>
      <c r="V10" s="344"/>
      <c r="W10" s="317">
        <v>108004</v>
      </c>
      <c r="Z10" s="345">
        <f aca="true" t="shared" si="2" ref="Z10:Z34">Q10+T10</f>
        <v>16924</v>
      </c>
      <c r="AA10" s="345">
        <f aca="true" t="shared" si="3" ref="AA10:AA34">R10+U10</f>
        <v>91080</v>
      </c>
      <c r="AB10" s="345"/>
    </row>
    <row r="11" spans="1:28" ht="15">
      <c r="A11" s="340">
        <v>3</v>
      </c>
      <c r="B11" s="341" t="s">
        <v>23</v>
      </c>
      <c r="C11" s="346">
        <v>2</v>
      </c>
      <c r="D11" s="365">
        <f>P11</f>
        <v>82308</v>
      </c>
      <c r="E11" s="365">
        <f>S11</f>
        <v>9318</v>
      </c>
      <c r="F11" s="365">
        <f aca="true" t="shared" si="4" ref="F11:F34">D11+E11</f>
        <v>91626</v>
      </c>
      <c r="G11" s="366"/>
      <c r="H11" s="366">
        <f aca="true" t="shared" si="5" ref="H11:H37">F11+G11</f>
        <v>91626</v>
      </c>
      <c r="I11" s="367">
        <v>0</v>
      </c>
      <c r="J11" s="367">
        <v>120238</v>
      </c>
      <c r="K11" s="367"/>
      <c r="L11" s="367">
        <v>1280</v>
      </c>
      <c r="M11" s="366">
        <f aca="true" t="shared" si="6" ref="M11:M33">I11+K11+J11+L11</f>
        <v>121518</v>
      </c>
      <c r="N11" s="366">
        <f aca="true" t="shared" si="7" ref="N11:N37">M11+H11</f>
        <v>213144</v>
      </c>
      <c r="O11" s="142">
        <f aca="true" t="shared" si="8" ref="O11:O35">F11/N11*100</f>
        <v>42.987839207296474</v>
      </c>
      <c r="P11" s="347">
        <f t="shared" si="0"/>
        <v>82308</v>
      </c>
      <c r="Q11" s="447">
        <v>1997</v>
      </c>
      <c r="R11" s="343">
        <v>80311</v>
      </c>
      <c r="S11" s="185">
        <f t="shared" si="1"/>
        <v>9318</v>
      </c>
      <c r="T11" s="343">
        <v>996</v>
      </c>
      <c r="U11" s="343">
        <v>8322</v>
      </c>
      <c r="V11" s="344"/>
      <c r="W11" s="317">
        <v>91626</v>
      </c>
      <c r="X11" s="345"/>
      <c r="Z11" s="345">
        <f t="shared" si="2"/>
        <v>2993</v>
      </c>
      <c r="AA11" s="345">
        <f t="shared" si="3"/>
        <v>88633</v>
      </c>
      <c r="AB11" s="345"/>
    </row>
    <row r="12" spans="1:28" ht="15">
      <c r="A12" s="340">
        <v>4</v>
      </c>
      <c r="B12" s="341" t="s">
        <v>24</v>
      </c>
      <c r="C12" s="346">
        <v>4</v>
      </c>
      <c r="D12" s="365">
        <f>P12+P18</f>
        <v>226827</v>
      </c>
      <c r="E12" s="365">
        <f>S12+S18</f>
        <v>4029</v>
      </c>
      <c r="F12" s="365">
        <f t="shared" si="4"/>
        <v>230856</v>
      </c>
      <c r="G12" s="366"/>
      <c r="H12" s="366">
        <f t="shared" si="5"/>
        <v>230856</v>
      </c>
      <c r="I12" s="367">
        <v>3324657</v>
      </c>
      <c r="J12" s="367">
        <v>3853362</v>
      </c>
      <c r="K12" s="367"/>
      <c r="L12" s="367">
        <v>1481580</v>
      </c>
      <c r="M12" s="366">
        <f t="shared" si="6"/>
        <v>8659599</v>
      </c>
      <c r="N12" s="366">
        <f t="shared" si="7"/>
        <v>8890455</v>
      </c>
      <c r="O12" s="142">
        <f t="shared" si="8"/>
        <v>2.596672498764124</v>
      </c>
      <c r="P12" s="347">
        <f t="shared" si="0"/>
        <v>126635</v>
      </c>
      <c r="Q12" s="447">
        <v>6131</v>
      </c>
      <c r="R12" s="343">
        <v>120504</v>
      </c>
      <c r="S12" s="185">
        <f t="shared" si="1"/>
        <v>2467</v>
      </c>
      <c r="T12" s="343">
        <v>1931</v>
      </c>
      <c r="U12" s="343">
        <v>536</v>
      </c>
      <c r="V12" s="344"/>
      <c r="W12" s="317">
        <v>129102</v>
      </c>
      <c r="X12" s="345"/>
      <c r="Z12" s="345">
        <f t="shared" si="2"/>
        <v>8062</v>
      </c>
      <c r="AA12" s="345">
        <f t="shared" si="3"/>
        <v>121040</v>
      </c>
      <c r="AB12" s="345"/>
    </row>
    <row r="13" spans="1:28" ht="15">
      <c r="A13" s="340">
        <v>5</v>
      </c>
      <c r="B13" s="341" t="s">
        <v>25</v>
      </c>
      <c r="C13" s="346"/>
      <c r="D13" s="365"/>
      <c r="E13" s="365"/>
      <c r="F13" s="365"/>
      <c r="G13" s="366"/>
      <c r="H13" s="366"/>
      <c r="I13" s="367">
        <v>0</v>
      </c>
      <c r="J13" s="367"/>
      <c r="K13" s="367"/>
      <c r="L13" s="367"/>
      <c r="M13" s="366"/>
      <c r="N13" s="366"/>
      <c r="O13" s="142"/>
      <c r="P13" s="347">
        <f t="shared" si="0"/>
        <v>113311</v>
      </c>
      <c r="Q13" s="447">
        <v>27092</v>
      </c>
      <c r="R13" s="343">
        <v>86219</v>
      </c>
      <c r="S13" s="185">
        <f t="shared" si="1"/>
        <v>6517</v>
      </c>
      <c r="T13" s="343">
        <v>1473</v>
      </c>
      <c r="U13" s="343">
        <v>5044</v>
      </c>
      <c r="V13" s="344"/>
      <c r="W13" s="317">
        <v>119828</v>
      </c>
      <c r="X13" s="345"/>
      <c r="Z13" s="345">
        <f t="shared" si="2"/>
        <v>28565</v>
      </c>
      <c r="AA13" s="345">
        <f t="shared" si="3"/>
        <v>91263</v>
      </c>
      <c r="AB13" s="345"/>
    </row>
    <row r="14" spans="1:28" ht="15">
      <c r="A14" s="340">
        <v>6</v>
      </c>
      <c r="B14" s="341" t="s">
        <v>26</v>
      </c>
      <c r="C14" s="346">
        <v>4</v>
      </c>
      <c r="D14" s="365">
        <f>P14</f>
        <v>107472</v>
      </c>
      <c r="E14" s="365">
        <f>S14</f>
        <v>23920</v>
      </c>
      <c r="F14" s="365">
        <f t="shared" si="4"/>
        <v>131392</v>
      </c>
      <c r="G14" s="366"/>
      <c r="H14" s="366">
        <f t="shared" si="5"/>
        <v>131392</v>
      </c>
      <c r="I14" s="367">
        <v>6719447</v>
      </c>
      <c r="J14" s="367">
        <v>3018060</v>
      </c>
      <c r="K14" s="367"/>
      <c r="L14" s="367">
        <v>231729</v>
      </c>
      <c r="M14" s="366">
        <f t="shared" si="6"/>
        <v>9969236</v>
      </c>
      <c r="N14" s="366">
        <f t="shared" si="7"/>
        <v>10100628</v>
      </c>
      <c r="O14" s="142">
        <f t="shared" si="8"/>
        <v>1.300830007797535</v>
      </c>
      <c r="P14" s="347">
        <f t="shared" si="0"/>
        <v>107472</v>
      </c>
      <c r="Q14" s="447">
        <v>23854</v>
      </c>
      <c r="R14" s="343">
        <v>83618</v>
      </c>
      <c r="S14" s="185">
        <f>T14+U14</f>
        <v>23920</v>
      </c>
      <c r="T14" s="343">
        <v>21219</v>
      </c>
      <c r="U14" s="343">
        <v>2701</v>
      </c>
      <c r="V14" s="344"/>
      <c r="W14" s="317">
        <v>131392</v>
      </c>
      <c r="X14" s="345"/>
      <c r="Z14" s="345">
        <f t="shared" si="2"/>
        <v>45073</v>
      </c>
      <c r="AA14" s="345">
        <f t="shared" si="3"/>
        <v>86319</v>
      </c>
      <c r="AB14" s="345"/>
    </row>
    <row r="15" spans="1:28" ht="15">
      <c r="A15" s="340">
        <v>7</v>
      </c>
      <c r="B15" s="341" t="s">
        <v>27</v>
      </c>
      <c r="C15" s="346">
        <v>4</v>
      </c>
      <c r="D15" s="365">
        <f>P15</f>
        <v>19120</v>
      </c>
      <c r="E15" s="365">
        <f>S15</f>
        <v>1689</v>
      </c>
      <c r="F15" s="365">
        <f t="shared" si="4"/>
        <v>20809</v>
      </c>
      <c r="G15" s="366"/>
      <c r="H15" s="366">
        <f t="shared" si="5"/>
        <v>20809</v>
      </c>
      <c r="I15" s="367">
        <v>2121823</v>
      </c>
      <c r="J15" s="367">
        <v>2677383</v>
      </c>
      <c r="K15" s="367"/>
      <c r="L15" s="367">
        <v>156659</v>
      </c>
      <c r="M15" s="366">
        <f t="shared" si="6"/>
        <v>4955865</v>
      </c>
      <c r="N15" s="366">
        <f t="shared" si="7"/>
        <v>4976674</v>
      </c>
      <c r="O15" s="142">
        <f t="shared" si="8"/>
        <v>0.41813066316981984</v>
      </c>
      <c r="P15" s="347">
        <f t="shared" si="0"/>
        <v>19120</v>
      </c>
      <c r="Q15" s="447">
        <v>2398</v>
      </c>
      <c r="R15" s="343">
        <v>16722</v>
      </c>
      <c r="S15" s="185">
        <f t="shared" si="1"/>
        <v>1689</v>
      </c>
      <c r="T15" s="348">
        <v>1588</v>
      </c>
      <c r="U15" s="343">
        <v>101</v>
      </c>
      <c r="V15" s="344"/>
      <c r="W15" s="317">
        <v>20809</v>
      </c>
      <c r="X15" s="345"/>
      <c r="Z15" s="345">
        <f t="shared" si="2"/>
        <v>3986</v>
      </c>
      <c r="AA15" s="345">
        <f t="shared" si="3"/>
        <v>16823</v>
      </c>
      <c r="AB15" s="345"/>
    </row>
    <row r="16" spans="1:28" ht="18" customHeight="1">
      <c r="A16" s="340">
        <v>8</v>
      </c>
      <c r="B16" s="341" t="s">
        <v>28</v>
      </c>
      <c r="C16" s="346">
        <v>2</v>
      </c>
      <c r="D16" s="365">
        <f>P16</f>
        <v>58832</v>
      </c>
      <c r="E16" s="365">
        <f>S16</f>
        <v>934</v>
      </c>
      <c r="F16" s="365">
        <f t="shared" si="4"/>
        <v>59766</v>
      </c>
      <c r="G16" s="366"/>
      <c r="H16" s="366">
        <f t="shared" si="5"/>
        <v>59766</v>
      </c>
      <c r="I16" s="367">
        <v>0</v>
      </c>
      <c r="J16" s="367">
        <v>196230</v>
      </c>
      <c r="K16" s="367"/>
      <c r="L16" s="367">
        <v>71</v>
      </c>
      <c r="M16" s="366">
        <f t="shared" si="6"/>
        <v>196301</v>
      </c>
      <c r="N16" s="366">
        <f t="shared" si="7"/>
        <v>256067</v>
      </c>
      <c r="O16" s="142">
        <f t="shared" si="8"/>
        <v>23.33998523823843</v>
      </c>
      <c r="P16" s="347">
        <f t="shared" si="0"/>
        <v>58832</v>
      </c>
      <c r="Q16" s="447">
        <v>3654</v>
      </c>
      <c r="R16" s="343">
        <v>55178</v>
      </c>
      <c r="S16" s="185">
        <f t="shared" si="1"/>
        <v>934</v>
      </c>
      <c r="T16" s="343">
        <v>296</v>
      </c>
      <c r="U16" s="343">
        <v>638</v>
      </c>
      <c r="V16" s="344"/>
      <c r="W16" s="317">
        <v>59766</v>
      </c>
      <c r="X16" s="345"/>
      <c r="Z16" s="345">
        <f t="shared" si="2"/>
        <v>3950</v>
      </c>
      <c r="AA16" s="345">
        <f t="shared" si="3"/>
        <v>55816</v>
      </c>
      <c r="AB16" s="345"/>
    </row>
    <row r="17" spans="1:28" ht="17.25" customHeight="1">
      <c r="A17" s="340">
        <v>9</v>
      </c>
      <c r="B17" s="341" t="s">
        <v>29</v>
      </c>
      <c r="C17" s="346">
        <v>3</v>
      </c>
      <c r="D17" s="365">
        <f>P17</f>
        <v>68968</v>
      </c>
      <c r="E17" s="365">
        <f>S17</f>
        <v>527</v>
      </c>
      <c r="F17" s="365">
        <f t="shared" si="4"/>
        <v>69495</v>
      </c>
      <c r="G17" s="366"/>
      <c r="H17" s="366">
        <f t="shared" si="5"/>
        <v>69495</v>
      </c>
      <c r="I17" s="367">
        <v>606558</v>
      </c>
      <c r="J17" s="367">
        <v>85035</v>
      </c>
      <c r="K17" s="367"/>
      <c r="L17" s="367">
        <v>21</v>
      </c>
      <c r="M17" s="366">
        <f t="shared" si="6"/>
        <v>691614</v>
      </c>
      <c r="N17" s="366">
        <f t="shared" si="7"/>
        <v>761109</v>
      </c>
      <c r="O17" s="142">
        <f t="shared" si="8"/>
        <v>9.130755253189754</v>
      </c>
      <c r="P17" s="347">
        <f t="shared" si="0"/>
        <v>68968</v>
      </c>
      <c r="Q17" s="447">
        <v>41053</v>
      </c>
      <c r="R17" s="343">
        <v>27915</v>
      </c>
      <c r="S17" s="185">
        <f t="shared" si="1"/>
        <v>527</v>
      </c>
      <c r="T17" s="343">
        <v>215</v>
      </c>
      <c r="U17" s="343">
        <v>312</v>
      </c>
      <c r="V17" s="344"/>
      <c r="W17" s="317">
        <v>69495</v>
      </c>
      <c r="X17" s="345"/>
      <c r="Z17" s="345">
        <f t="shared" si="2"/>
        <v>41268</v>
      </c>
      <c r="AA17" s="345">
        <f t="shared" si="3"/>
        <v>28227</v>
      </c>
      <c r="AB17" s="345"/>
    </row>
    <row r="18" spans="1:28" ht="15">
      <c r="A18" s="340">
        <v>10</v>
      </c>
      <c r="B18" s="341" t="s">
        <v>30</v>
      </c>
      <c r="C18" s="346"/>
      <c r="D18" s="365"/>
      <c r="E18" s="365"/>
      <c r="F18" s="365"/>
      <c r="G18" s="366"/>
      <c r="H18" s="366"/>
      <c r="I18" s="367">
        <v>0</v>
      </c>
      <c r="J18" s="367"/>
      <c r="K18" s="367"/>
      <c r="L18" s="367"/>
      <c r="M18" s="366"/>
      <c r="N18" s="366"/>
      <c r="O18" s="142"/>
      <c r="P18" s="347">
        <f t="shared" si="0"/>
        <v>100192</v>
      </c>
      <c r="Q18" s="447">
        <v>17247</v>
      </c>
      <c r="R18" s="343">
        <v>82945</v>
      </c>
      <c r="S18" s="185">
        <f t="shared" si="1"/>
        <v>1562</v>
      </c>
      <c r="T18" s="343">
        <v>1562</v>
      </c>
      <c r="U18" s="343">
        <v>0</v>
      </c>
      <c r="V18" s="344"/>
      <c r="W18" s="317">
        <v>101754</v>
      </c>
      <c r="X18" s="345"/>
      <c r="Z18" s="345">
        <f t="shared" si="2"/>
        <v>18809</v>
      </c>
      <c r="AA18" s="345">
        <f t="shared" si="3"/>
        <v>82945</v>
      </c>
      <c r="AB18" s="345"/>
    </row>
    <row r="19" spans="1:28" ht="15">
      <c r="A19" s="340">
        <v>11</v>
      </c>
      <c r="B19" s="341" t="s">
        <v>31</v>
      </c>
      <c r="C19" s="346">
        <v>4</v>
      </c>
      <c r="D19" s="365">
        <f>P19</f>
        <v>180942</v>
      </c>
      <c r="E19" s="365">
        <f>S19</f>
        <v>9994</v>
      </c>
      <c r="F19" s="365">
        <f t="shared" si="4"/>
        <v>190936</v>
      </c>
      <c r="G19" s="366"/>
      <c r="H19" s="366">
        <f t="shared" si="5"/>
        <v>190936</v>
      </c>
      <c r="I19" s="367">
        <v>6416357</v>
      </c>
      <c r="J19" s="367">
        <v>6309062</v>
      </c>
      <c r="K19" s="367"/>
      <c r="L19" s="367">
        <v>2204660</v>
      </c>
      <c r="M19" s="366">
        <f t="shared" si="6"/>
        <v>14930079</v>
      </c>
      <c r="N19" s="366">
        <f t="shared" si="7"/>
        <v>15121015</v>
      </c>
      <c r="O19" s="142">
        <f t="shared" si="8"/>
        <v>1.2627194669140929</v>
      </c>
      <c r="P19" s="347">
        <f t="shared" si="0"/>
        <v>180942</v>
      </c>
      <c r="Q19" s="447">
        <v>29276</v>
      </c>
      <c r="R19" s="343">
        <v>151666</v>
      </c>
      <c r="S19" s="185">
        <f>T19+U19</f>
        <v>9994</v>
      </c>
      <c r="T19" s="343">
        <v>4978</v>
      </c>
      <c r="U19" s="343">
        <v>5016</v>
      </c>
      <c r="V19" s="344"/>
      <c r="W19" s="317">
        <v>190936</v>
      </c>
      <c r="X19" s="345"/>
      <c r="Z19" s="345">
        <f t="shared" si="2"/>
        <v>34254</v>
      </c>
      <c r="AA19" s="345">
        <f t="shared" si="3"/>
        <v>156682</v>
      </c>
      <c r="AB19" s="345"/>
    </row>
    <row r="20" spans="1:28" ht="15">
      <c r="A20" s="340">
        <v>12</v>
      </c>
      <c r="B20" s="341" t="s">
        <v>32</v>
      </c>
      <c r="C20" s="346">
        <v>4</v>
      </c>
      <c r="D20" s="365">
        <f>P20</f>
        <v>289284</v>
      </c>
      <c r="E20" s="365">
        <f>S20</f>
        <v>4527</v>
      </c>
      <c r="F20" s="365">
        <f t="shared" si="4"/>
        <v>293811</v>
      </c>
      <c r="G20" s="366"/>
      <c r="H20" s="366">
        <f t="shared" si="5"/>
        <v>293811</v>
      </c>
      <c r="I20" s="367">
        <v>2885016</v>
      </c>
      <c r="J20" s="367">
        <v>1992262</v>
      </c>
      <c r="K20" s="367"/>
      <c r="L20" s="367">
        <v>541973</v>
      </c>
      <c r="M20" s="366">
        <f t="shared" si="6"/>
        <v>5419251</v>
      </c>
      <c r="N20" s="366">
        <f t="shared" si="7"/>
        <v>5713062</v>
      </c>
      <c r="O20" s="142">
        <f t="shared" si="8"/>
        <v>5.142793829298544</v>
      </c>
      <c r="P20" s="347">
        <f t="shared" si="0"/>
        <v>289284</v>
      </c>
      <c r="Q20" s="447">
        <v>39098</v>
      </c>
      <c r="R20" s="343">
        <v>250186</v>
      </c>
      <c r="S20" s="185">
        <f t="shared" si="1"/>
        <v>4527</v>
      </c>
      <c r="T20" s="343">
        <v>2783</v>
      </c>
      <c r="U20" s="343">
        <v>1744</v>
      </c>
      <c r="V20" s="344"/>
      <c r="W20" s="317">
        <v>293811</v>
      </c>
      <c r="X20" s="345"/>
      <c r="Z20" s="345">
        <f t="shared" si="2"/>
        <v>41881</v>
      </c>
      <c r="AA20" s="345">
        <f t="shared" si="3"/>
        <v>251930</v>
      </c>
      <c r="AB20" s="345"/>
    </row>
    <row r="21" spans="1:28" ht="15">
      <c r="A21" s="340">
        <v>13</v>
      </c>
      <c r="B21" s="341" t="s">
        <v>33</v>
      </c>
      <c r="C21" s="346">
        <v>3</v>
      </c>
      <c r="D21" s="365">
        <f>P21+P13</f>
        <v>213458</v>
      </c>
      <c r="E21" s="365">
        <f>S21+S13</f>
        <v>14959</v>
      </c>
      <c r="F21" s="365">
        <f t="shared" si="4"/>
        <v>228417</v>
      </c>
      <c r="G21" s="366"/>
      <c r="H21" s="366">
        <f t="shared" si="5"/>
        <v>228417</v>
      </c>
      <c r="I21" s="367">
        <v>3235401</v>
      </c>
      <c r="J21" s="367">
        <v>3937441</v>
      </c>
      <c r="K21" s="367"/>
      <c r="L21" s="367">
        <v>3121</v>
      </c>
      <c r="M21" s="366">
        <f t="shared" si="6"/>
        <v>7175963</v>
      </c>
      <c r="N21" s="366">
        <f t="shared" si="7"/>
        <v>7404380</v>
      </c>
      <c r="O21" s="142">
        <f t="shared" si="8"/>
        <v>3.084890294663429</v>
      </c>
      <c r="P21" s="347">
        <f t="shared" si="0"/>
        <v>100147</v>
      </c>
      <c r="Q21" s="447">
        <v>20665</v>
      </c>
      <c r="R21" s="343">
        <v>79482</v>
      </c>
      <c r="S21" s="185">
        <f t="shared" si="1"/>
        <v>8442</v>
      </c>
      <c r="T21" s="343">
        <v>6766</v>
      </c>
      <c r="U21" s="343">
        <v>1676</v>
      </c>
      <c r="V21" s="344"/>
      <c r="W21" s="317">
        <v>108589</v>
      </c>
      <c r="X21" s="345"/>
      <c r="Z21" s="345">
        <f t="shared" si="2"/>
        <v>27431</v>
      </c>
      <c r="AA21" s="345">
        <f t="shared" si="3"/>
        <v>81158</v>
      </c>
      <c r="AB21" s="345"/>
    </row>
    <row r="22" spans="1:28" ht="15">
      <c r="A22" s="340">
        <v>14</v>
      </c>
      <c r="B22" s="341" t="s">
        <v>34</v>
      </c>
      <c r="C22" s="346">
        <v>4</v>
      </c>
      <c r="D22" s="365">
        <f>P22</f>
        <v>156538</v>
      </c>
      <c r="E22" s="365">
        <f>S22</f>
        <v>4022</v>
      </c>
      <c r="F22" s="365">
        <f t="shared" si="4"/>
        <v>160560</v>
      </c>
      <c r="G22" s="366"/>
      <c r="H22" s="366">
        <f t="shared" si="5"/>
        <v>160560</v>
      </c>
      <c r="I22" s="367">
        <v>7830723</v>
      </c>
      <c r="J22" s="367">
        <v>6519501</v>
      </c>
      <c r="K22" s="367"/>
      <c r="L22" s="367">
        <v>676571</v>
      </c>
      <c r="M22" s="366">
        <f t="shared" si="6"/>
        <v>15026795</v>
      </c>
      <c r="N22" s="366">
        <f t="shared" si="7"/>
        <v>15187355</v>
      </c>
      <c r="O22" s="142">
        <f t="shared" si="8"/>
        <v>1.057195278572207</v>
      </c>
      <c r="P22" s="347">
        <f t="shared" si="0"/>
        <v>156538</v>
      </c>
      <c r="Q22" s="447">
        <v>40354</v>
      </c>
      <c r="R22" s="343">
        <v>116184</v>
      </c>
      <c r="S22" s="185">
        <f t="shared" si="1"/>
        <v>4022</v>
      </c>
      <c r="T22" s="343">
        <v>3292</v>
      </c>
      <c r="U22" s="343">
        <v>730</v>
      </c>
      <c r="V22" s="344"/>
      <c r="W22" s="317">
        <v>160560</v>
      </c>
      <c r="X22" s="345"/>
      <c r="Z22" s="345">
        <f t="shared" si="2"/>
        <v>43646</v>
      </c>
      <c r="AA22" s="345">
        <f t="shared" si="3"/>
        <v>116914</v>
      </c>
      <c r="AB22" s="345"/>
    </row>
    <row r="23" spans="1:28" ht="15">
      <c r="A23" s="340">
        <v>15</v>
      </c>
      <c r="B23" s="341" t="s">
        <v>35</v>
      </c>
      <c r="C23" s="346">
        <v>1</v>
      </c>
      <c r="D23" s="365">
        <f>P23+P24</f>
        <v>143194</v>
      </c>
      <c r="E23" s="365">
        <f>S23+S24</f>
        <v>3080</v>
      </c>
      <c r="F23" s="365">
        <f t="shared" si="4"/>
        <v>146274</v>
      </c>
      <c r="G23" s="366"/>
      <c r="H23" s="366">
        <f t="shared" si="5"/>
        <v>146274</v>
      </c>
      <c r="I23" s="367">
        <v>0</v>
      </c>
      <c r="J23" s="367">
        <v>77214</v>
      </c>
      <c r="K23" s="367"/>
      <c r="L23" s="367">
        <v>151</v>
      </c>
      <c r="M23" s="366">
        <f t="shared" si="6"/>
        <v>77365</v>
      </c>
      <c r="N23" s="366">
        <f t="shared" si="7"/>
        <v>223639</v>
      </c>
      <c r="O23" s="142">
        <f t="shared" si="8"/>
        <v>65.40630212082866</v>
      </c>
      <c r="P23" s="347">
        <f t="shared" si="0"/>
        <v>69086</v>
      </c>
      <c r="Q23" s="447">
        <v>790</v>
      </c>
      <c r="R23" s="343">
        <v>68296</v>
      </c>
      <c r="S23" s="185">
        <f t="shared" si="1"/>
        <v>227</v>
      </c>
      <c r="T23" s="343">
        <v>44</v>
      </c>
      <c r="U23" s="343">
        <v>183</v>
      </c>
      <c r="V23" s="344"/>
      <c r="W23" s="317">
        <v>69313</v>
      </c>
      <c r="X23" s="345"/>
      <c r="Z23" s="345">
        <f t="shared" si="2"/>
        <v>834</v>
      </c>
      <c r="AA23" s="345">
        <f t="shared" si="3"/>
        <v>68479</v>
      </c>
      <c r="AB23" s="345"/>
    </row>
    <row r="24" spans="1:28" ht="15">
      <c r="A24" s="340">
        <v>16</v>
      </c>
      <c r="B24" s="341" t="s">
        <v>36</v>
      </c>
      <c r="C24" s="346"/>
      <c r="D24" s="365"/>
      <c r="E24" s="365"/>
      <c r="F24" s="365"/>
      <c r="G24" s="366"/>
      <c r="H24" s="366"/>
      <c r="I24" s="367">
        <v>0</v>
      </c>
      <c r="J24" s="367"/>
      <c r="K24" s="367"/>
      <c r="L24" s="367"/>
      <c r="M24" s="366"/>
      <c r="N24" s="366"/>
      <c r="O24" s="142"/>
      <c r="P24" s="347">
        <f t="shared" si="0"/>
        <v>74108</v>
      </c>
      <c r="Q24" s="447">
        <v>32392</v>
      </c>
      <c r="R24" s="343">
        <v>41716</v>
      </c>
      <c r="S24" s="185">
        <f aca="true" t="shared" si="9" ref="S24:S34">T24+U24</f>
        <v>2853</v>
      </c>
      <c r="T24" s="343">
        <v>2505</v>
      </c>
      <c r="U24" s="343">
        <v>348</v>
      </c>
      <c r="V24" s="344"/>
      <c r="W24" s="317">
        <v>76961</v>
      </c>
      <c r="X24" s="345"/>
      <c r="Z24" s="345">
        <f t="shared" si="2"/>
        <v>34897</v>
      </c>
      <c r="AA24" s="345">
        <f t="shared" si="3"/>
        <v>42064</v>
      </c>
      <c r="AB24" s="345"/>
    </row>
    <row r="25" spans="1:28" ht="15">
      <c r="A25" s="340">
        <v>17</v>
      </c>
      <c r="B25" s="341" t="s">
        <v>37</v>
      </c>
      <c r="C25" s="346">
        <v>2</v>
      </c>
      <c r="D25" s="365">
        <f>P25</f>
        <v>74264</v>
      </c>
      <c r="E25" s="365">
        <f>S25</f>
        <v>0</v>
      </c>
      <c r="F25" s="365">
        <f t="shared" si="4"/>
        <v>74264</v>
      </c>
      <c r="G25" s="366"/>
      <c r="H25" s="366">
        <f t="shared" si="5"/>
        <v>74264</v>
      </c>
      <c r="I25" s="367">
        <v>8841</v>
      </c>
      <c r="J25" s="367">
        <v>2205917</v>
      </c>
      <c r="K25" s="367"/>
      <c r="L25" s="367">
        <v>803</v>
      </c>
      <c r="M25" s="366">
        <f t="shared" si="6"/>
        <v>2215561</v>
      </c>
      <c r="N25" s="366">
        <f t="shared" si="7"/>
        <v>2289825</v>
      </c>
      <c r="O25" s="142">
        <f t="shared" si="8"/>
        <v>3.243217276429421</v>
      </c>
      <c r="P25" s="347">
        <f t="shared" si="0"/>
        <v>74264</v>
      </c>
      <c r="Q25" s="447">
        <v>27238</v>
      </c>
      <c r="R25" s="343">
        <v>47026</v>
      </c>
      <c r="S25" s="185">
        <f t="shared" si="9"/>
        <v>0</v>
      </c>
      <c r="T25" s="343">
        <v>0</v>
      </c>
      <c r="U25" s="343">
        <v>0</v>
      </c>
      <c r="V25" s="344"/>
      <c r="W25" s="317">
        <v>74264</v>
      </c>
      <c r="X25" s="345"/>
      <c r="Z25" s="345">
        <f t="shared" si="2"/>
        <v>27238</v>
      </c>
      <c r="AA25" s="345">
        <f t="shared" si="3"/>
        <v>47026</v>
      </c>
      <c r="AB25" s="345"/>
    </row>
    <row r="26" spans="1:28" ht="15">
      <c r="A26" s="340">
        <v>18</v>
      </c>
      <c r="B26" s="341" t="s">
        <v>38</v>
      </c>
      <c r="C26" s="346">
        <v>4</v>
      </c>
      <c r="D26" s="365">
        <f>P26</f>
        <v>31655</v>
      </c>
      <c r="E26" s="365">
        <f>S26</f>
        <v>15563</v>
      </c>
      <c r="F26" s="365">
        <f t="shared" si="4"/>
        <v>47218</v>
      </c>
      <c r="G26" s="366"/>
      <c r="H26" s="366">
        <f t="shared" si="5"/>
        <v>47218</v>
      </c>
      <c r="I26" s="367">
        <v>2840719</v>
      </c>
      <c r="J26" s="367">
        <v>2493061</v>
      </c>
      <c r="K26" s="367">
        <v>1696650</v>
      </c>
      <c r="L26" s="367">
        <v>1147</v>
      </c>
      <c r="M26" s="366">
        <f t="shared" si="6"/>
        <v>7031577</v>
      </c>
      <c r="N26" s="366">
        <f t="shared" si="7"/>
        <v>7078795</v>
      </c>
      <c r="O26" s="142">
        <f t="shared" si="8"/>
        <v>0.6670344317076564</v>
      </c>
      <c r="P26" s="347">
        <f t="shared" si="0"/>
        <v>31655</v>
      </c>
      <c r="Q26" s="447">
        <v>5104</v>
      </c>
      <c r="R26" s="343">
        <v>26551</v>
      </c>
      <c r="S26" s="185">
        <f t="shared" si="9"/>
        <v>15563</v>
      </c>
      <c r="T26" s="349">
        <v>12559</v>
      </c>
      <c r="U26" s="343">
        <v>3004</v>
      </c>
      <c r="V26" s="344"/>
      <c r="W26" s="317">
        <v>47218</v>
      </c>
      <c r="X26" s="345"/>
      <c r="Z26" s="345">
        <f t="shared" si="2"/>
        <v>17663</v>
      </c>
      <c r="AA26" s="345">
        <f t="shared" si="3"/>
        <v>29555</v>
      </c>
      <c r="AB26" s="345"/>
    </row>
    <row r="27" spans="1:28" ht="15">
      <c r="A27" s="340">
        <v>19</v>
      </c>
      <c r="B27" s="341" t="s">
        <v>39</v>
      </c>
      <c r="C27" s="346">
        <v>4</v>
      </c>
      <c r="D27" s="365">
        <f>P27</f>
        <v>173107</v>
      </c>
      <c r="E27" s="365">
        <f>S27</f>
        <v>9595</v>
      </c>
      <c r="F27" s="365">
        <f t="shared" si="4"/>
        <v>182702</v>
      </c>
      <c r="G27" s="366"/>
      <c r="H27" s="366">
        <f t="shared" si="5"/>
        <v>182702</v>
      </c>
      <c r="I27" s="367">
        <v>5379429</v>
      </c>
      <c r="J27" s="367">
        <v>3071790</v>
      </c>
      <c r="K27" s="367"/>
      <c r="L27" s="367">
        <v>2207814</v>
      </c>
      <c r="M27" s="366">
        <f t="shared" si="6"/>
        <v>10659033</v>
      </c>
      <c r="N27" s="366">
        <f t="shared" si="7"/>
        <v>10841735</v>
      </c>
      <c r="O27" s="142">
        <f t="shared" si="8"/>
        <v>1.6851730834594278</v>
      </c>
      <c r="P27" s="347">
        <f t="shared" si="0"/>
        <v>173107</v>
      </c>
      <c r="Q27" s="447">
        <v>24167</v>
      </c>
      <c r="R27" s="343">
        <v>148940</v>
      </c>
      <c r="S27" s="185">
        <f t="shared" si="9"/>
        <v>9595</v>
      </c>
      <c r="T27" s="343">
        <v>6687</v>
      </c>
      <c r="U27" s="343">
        <v>2908</v>
      </c>
      <c r="V27" s="344"/>
      <c r="W27" s="317">
        <v>182702</v>
      </c>
      <c r="X27" s="345"/>
      <c r="Z27" s="345">
        <f t="shared" si="2"/>
        <v>30854</v>
      </c>
      <c r="AA27" s="345">
        <f t="shared" si="3"/>
        <v>151848</v>
      </c>
      <c r="AB27" s="345"/>
    </row>
    <row r="28" spans="1:28" ht="15">
      <c r="A28" s="340">
        <v>20</v>
      </c>
      <c r="B28" s="341" t="s">
        <v>40</v>
      </c>
      <c r="C28" s="346">
        <v>4</v>
      </c>
      <c r="D28" s="365">
        <f>P28</f>
        <v>99110</v>
      </c>
      <c r="E28" s="365">
        <f>S28</f>
        <v>5959</v>
      </c>
      <c r="F28" s="365">
        <f t="shared" si="4"/>
        <v>105069</v>
      </c>
      <c r="G28" s="366"/>
      <c r="H28" s="366">
        <f t="shared" si="5"/>
        <v>105069</v>
      </c>
      <c r="I28" s="367">
        <v>5623356</v>
      </c>
      <c r="J28" s="367">
        <v>4386818</v>
      </c>
      <c r="K28" s="367"/>
      <c r="L28" s="367">
        <v>1234562</v>
      </c>
      <c r="M28" s="366">
        <f t="shared" si="6"/>
        <v>11244736</v>
      </c>
      <c r="N28" s="366">
        <f t="shared" si="7"/>
        <v>11349805</v>
      </c>
      <c r="O28" s="142">
        <f t="shared" si="8"/>
        <v>0.925733966354488</v>
      </c>
      <c r="P28" s="347">
        <f t="shared" si="0"/>
        <v>99110</v>
      </c>
      <c r="Q28" s="447">
        <v>5170</v>
      </c>
      <c r="R28" s="343">
        <v>93940</v>
      </c>
      <c r="S28" s="185">
        <f t="shared" si="9"/>
        <v>5959</v>
      </c>
      <c r="T28" s="343">
        <v>4660</v>
      </c>
      <c r="U28" s="343">
        <v>1299</v>
      </c>
      <c r="V28" s="344"/>
      <c r="W28" s="317">
        <v>105069</v>
      </c>
      <c r="X28" s="345"/>
      <c r="Z28" s="345">
        <f t="shared" si="2"/>
        <v>9830</v>
      </c>
      <c r="AA28" s="345">
        <f t="shared" si="3"/>
        <v>95239</v>
      </c>
      <c r="AB28" s="345"/>
    </row>
    <row r="29" spans="1:28" ht="15">
      <c r="A29" s="340">
        <v>21</v>
      </c>
      <c r="B29" s="341" t="s">
        <v>41</v>
      </c>
      <c r="C29" s="346"/>
      <c r="D29" s="365"/>
      <c r="E29" s="365"/>
      <c r="F29" s="365"/>
      <c r="G29" s="366"/>
      <c r="H29" s="366"/>
      <c r="I29" s="367">
        <v>0</v>
      </c>
      <c r="J29" s="367"/>
      <c r="K29" s="367"/>
      <c r="L29" s="367"/>
      <c r="M29" s="366"/>
      <c r="N29" s="366"/>
      <c r="O29" s="142"/>
      <c r="P29" s="347">
        <f t="shared" si="0"/>
        <v>45983</v>
      </c>
      <c r="Q29" s="447">
        <v>766</v>
      </c>
      <c r="R29" s="343">
        <v>45217</v>
      </c>
      <c r="S29" s="185">
        <f t="shared" si="9"/>
        <v>1227</v>
      </c>
      <c r="T29" s="349">
        <v>382</v>
      </c>
      <c r="U29" s="343">
        <v>845</v>
      </c>
      <c r="V29" s="344"/>
      <c r="W29" s="317">
        <v>47210</v>
      </c>
      <c r="X29" s="345"/>
      <c r="Z29" s="345">
        <f t="shared" si="2"/>
        <v>1148</v>
      </c>
      <c r="AA29" s="345">
        <f t="shared" si="3"/>
        <v>46062</v>
      </c>
      <c r="AB29" s="345"/>
    </row>
    <row r="30" spans="1:28" ht="15">
      <c r="A30" s="340">
        <v>22</v>
      </c>
      <c r="B30" s="341" t="s">
        <v>42</v>
      </c>
      <c r="C30" s="346">
        <v>4</v>
      </c>
      <c r="D30" s="365">
        <f>P30</f>
        <v>391746</v>
      </c>
      <c r="E30" s="365">
        <f>S30</f>
        <v>32933</v>
      </c>
      <c r="F30" s="365">
        <f t="shared" si="4"/>
        <v>424679</v>
      </c>
      <c r="G30" s="366"/>
      <c r="H30" s="366">
        <f t="shared" si="5"/>
        <v>424679</v>
      </c>
      <c r="I30" s="367">
        <v>9648465</v>
      </c>
      <c r="J30" s="367">
        <v>4141889</v>
      </c>
      <c r="K30" s="367"/>
      <c r="L30" s="367">
        <v>581226</v>
      </c>
      <c r="M30" s="366">
        <f>I30+K30+J30+L30</f>
        <v>14371580</v>
      </c>
      <c r="N30" s="366">
        <f t="shared" si="7"/>
        <v>14796259</v>
      </c>
      <c r="O30" s="142">
        <f t="shared" si="8"/>
        <v>2.8701781984216415</v>
      </c>
      <c r="P30" s="347">
        <f t="shared" si="0"/>
        <v>391746</v>
      </c>
      <c r="Q30" s="447">
        <v>36003</v>
      </c>
      <c r="R30" s="343">
        <v>355743</v>
      </c>
      <c r="S30" s="185">
        <f t="shared" si="9"/>
        <v>32933</v>
      </c>
      <c r="T30" s="350">
        <v>20867</v>
      </c>
      <c r="U30" s="343">
        <v>12066</v>
      </c>
      <c r="V30" s="344"/>
      <c r="W30" s="317">
        <v>424679</v>
      </c>
      <c r="X30" s="345"/>
      <c r="Z30" s="345">
        <f t="shared" si="2"/>
        <v>56870</v>
      </c>
      <c r="AA30" s="345">
        <f t="shared" si="3"/>
        <v>367809</v>
      </c>
      <c r="AB30" s="345"/>
    </row>
    <row r="31" spans="1:28" ht="15.75" customHeight="1">
      <c r="A31" s="340">
        <v>23</v>
      </c>
      <c r="B31" s="341" t="s">
        <v>43</v>
      </c>
      <c r="C31" s="346">
        <v>4</v>
      </c>
      <c r="D31" s="365">
        <f>P31+P29</f>
        <v>138517</v>
      </c>
      <c r="E31" s="365">
        <f>S31+S29</f>
        <v>3790</v>
      </c>
      <c r="F31" s="365">
        <f t="shared" si="4"/>
        <v>142307</v>
      </c>
      <c r="G31" s="366"/>
      <c r="H31" s="366">
        <f t="shared" si="5"/>
        <v>142307</v>
      </c>
      <c r="I31" s="367">
        <v>6647314</v>
      </c>
      <c r="J31" s="367">
        <v>4026419</v>
      </c>
      <c r="K31" s="367"/>
      <c r="L31" s="367">
        <v>617722</v>
      </c>
      <c r="M31" s="366">
        <f t="shared" si="6"/>
        <v>11291455</v>
      </c>
      <c r="N31" s="366">
        <f t="shared" si="7"/>
        <v>11433762</v>
      </c>
      <c r="O31" s="142">
        <f t="shared" si="8"/>
        <v>1.2446209742690113</v>
      </c>
      <c r="P31" s="347">
        <f t="shared" si="0"/>
        <v>92534</v>
      </c>
      <c r="Q31" s="447">
        <v>18608</v>
      </c>
      <c r="R31" s="343">
        <v>73926</v>
      </c>
      <c r="S31" s="185">
        <f t="shared" si="9"/>
        <v>2563</v>
      </c>
      <c r="T31" s="349">
        <v>1617</v>
      </c>
      <c r="U31" s="343">
        <v>946</v>
      </c>
      <c r="V31" s="344"/>
      <c r="W31" s="317">
        <v>95097</v>
      </c>
      <c r="X31" s="345"/>
      <c r="Z31" s="345">
        <f t="shared" si="2"/>
        <v>20225</v>
      </c>
      <c r="AA31" s="345">
        <f t="shared" si="3"/>
        <v>74872</v>
      </c>
      <c r="AB31" s="345"/>
    </row>
    <row r="32" spans="1:28" ht="15">
      <c r="A32" s="340">
        <v>24</v>
      </c>
      <c r="B32" s="341" t="s">
        <v>44</v>
      </c>
      <c r="C32" s="346">
        <v>4</v>
      </c>
      <c r="D32" s="365">
        <f>P32+P9</f>
        <v>66617</v>
      </c>
      <c r="E32" s="365">
        <f>S32+S9</f>
        <v>9944</v>
      </c>
      <c r="F32" s="365">
        <f t="shared" si="4"/>
        <v>76561</v>
      </c>
      <c r="G32" s="366"/>
      <c r="H32" s="366">
        <f t="shared" si="5"/>
        <v>76561</v>
      </c>
      <c r="I32" s="367">
        <v>657476</v>
      </c>
      <c r="J32" s="367">
        <v>2140661</v>
      </c>
      <c r="K32" s="367"/>
      <c r="L32" s="367">
        <v>1949509</v>
      </c>
      <c r="M32" s="366">
        <f t="shared" si="6"/>
        <v>4747646</v>
      </c>
      <c r="N32" s="366">
        <f t="shared" si="7"/>
        <v>4824207</v>
      </c>
      <c r="O32" s="142">
        <f t="shared" si="8"/>
        <v>1.5870173066785898</v>
      </c>
      <c r="P32" s="347">
        <f t="shared" si="0"/>
        <v>61099</v>
      </c>
      <c r="Q32" s="447">
        <v>-1797</v>
      </c>
      <c r="R32" s="343">
        <v>62896</v>
      </c>
      <c r="S32" s="185">
        <f t="shared" si="9"/>
        <v>3784</v>
      </c>
      <c r="T32" s="343">
        <v>2766</v>
      </c>
      <c r="U32" s="343">
        <v>1018</v>
      </c>
      <c r="V32" s="344"/>
      <c r="W32" s="317">
        <v>64883</v>
      </c>
      <c r="X32" s="345"/>
      <c r="Z32" s="345">
        <f t="shared" si="2"/>
        <v>969</v>
      </c>
      <c r="AA32" s="345">
        <f t="shared" si="3"/>
        <v>63914</v>
      </c>
      <c r="AB32" s="345"/>
    </row>
    <row r="33" spans="1:28" ht="15">
      <c r="A33" s="340">
        <v>25</v>
      </c>
      <c r="B33" s="341" t="s">
        <v>45</v>
      </c>
      <c r="C33" s="346">
        <v>4</v>
      </c>
      <c r="D33" s="365">
        <f>P33</f>
        <v>22090</v>
      </c>
      <c r="E33" s="365">
        <f>S33</f>
        <v>6511</v>
      </c>
      <c r="F33" s="365">
        <f t="shared" si="4"/>
        <v>28601</v>
      </c>
      <c r="G33" s="366"/>
      <c r="H33" s="366">
        <f t="shared" si="5"/>
        <v>28601</v>
      </c>
      <c r="I33" s="367">
        <v>587713</v>
      </c>
      <c r="J33" s="367">
        <v>2804426</v>
      </c>
      <c r="K33" s="367"/>
      <c r="L33" s="367">
        <v>887156</v>
      </c>
      <c r="M33" s="366">
        <f t="shared" si="6"/>
        <v>4279295</v>
      </c>
      <c r="N33" s="366">
        <f t="shared" si="7"/>
        <v>4307896</v>
      </c>
      <c r="O33" s="142">
        <f t="shared" si="8"/>
        <v>0.6639203917643323</v>
      </c>
      <c r="P33" s="347">
        <f t="shared" si="0"/>
        <v>22090</v>
      </c>
      <c r="Q33" s="447">
        <v>22090</v>
      </c>
      <c r="R33" s="343">
        <v>0</v>
      </c>
      <c r="S33" s="185">
        <f t="shared" si="9"/>
        <v>6511</v>
      </c>
      <c r="T33" s="343">
        <v>6511</v>
      </c>
      <c r="U33" s="343">
        <v>0</v>
      </c>
      <c r="V33" s="344"/>
      <c r="W33" s="317">
        <v>28601</v>
      </c>
      <c r="X33" s="345"/>
      <c r="Z33" s="345">
        <f t="shared" si="2"/>
        <v>28601</v>
      </c>
      <c r="AA33" s="345">
        <f t="shared" si="3"/>
        <v>0</v>
      </c>
      <c r="AB33" s="345"/>
    </row>
    <row r="34" spans="1:28" ht="15">
      <c r="A34" s="340">
        <v>26</v>
      </c>
      <c r="B34" s="341" t="s">
        <v>46</v>
      </c>
      <c r="C34" s="346">
        <v>3</v>
      </c>
      <c r="D34" s="365">
        <f>P34</f>
        <v>14719</v>
      </c>
      <c r="E34" s="365">
        <f>S34</f>
        <v>1504</v>
      </c>
      <c r="F34" s="365">
        <f t="shared" si="4"/>
        <v>16223</v>
      </c>
      <c r="G34" s="366"/>
      <c r="H34" s="366">
        <f t="shared" si="5"/>
        <v>16223</v>
      </c>
      <c r="I34" s="367">
        <v>835954</v>
      </c>
      <c r="J34" s="367">
        <v>1359500</v>
      </c>
      <c r="K34" s="367"/>
      <c r="L34" s="367"/>
      <c r="M34" s="366">
        <f>I34+K34+J34+L34</f>
        <v>2195454</v>
      </c>
      <c r="N34" s="366">
        <f t="shared" si="7"/>
        <v>2211677</v>
      </c>
      <c r="O34" s="142">
        <f t="shared" si="8"/>
        <v>0.7335157891500432</v>
      </c>
      <c r="P34" s="347">
        <f t="shared" si="0"/>
        <v>14719</v>
      </c>
      <c r="Q34" s="447">
        <v>368</v>
      </c>
      <c r="R34" s="343">
        <v>14351</v>
      </c>
      <c r="S34" s="185">
        <f t="shared" si="9"/>
        <v>1504</v>
      </c>
      <c r="T34" s="343">
        <v>1504</v>
      </c>
      <c r="U34" s="343">
        <v>0</v>
      </c>
      <c r="V34" s="344"/>
      <c r="W34" s="317">
        <v>16223</v>
      </c>
      <c r="X34" s="345"/>
      <c r="Z34" s="345">
        <f t="shared" si="2"/>
        <v>1872</v>
      </c>
      <c r="AA34" s="345">
        <f t="shared" si="3"/>
        <v>14351</v>
      </c>
      <c r="AB34" s="345"/>
    </row>
    <row r="35" spans="1:28" ht="15.75">
      <c r="A35" s="340"/>
      <c r="B35" s="27" t="s">
        <v>47</v>
      </c>
      <c r="C35" s="340">
        <v>4</v>
      </c>
      <c r="D35" s="368">
        <f>SUM(D9:D34)</f>
        <v>2662033</v>
      </c>
      <c r="E35" s="368">
        <f>SUM(E9:E34)</f>
        <v>167537</v>
      </c>
      <c r="F35" s="368">
        <f>SUM(F9:F34)</f>
        <v>2829570</v>
      </c>
      <c r="G35" s="366">
        <f aca="true" t="shared" si="10" ref="G35:L35">SUM(G9:G34)</f>
        <v>0</v>
      </c>
      <c r="H35" s="366">
        <f t="shared" si="10"/>
        <v>2829570</v>
      </c>
      <c r="I35" s="367">
        <f t="shared" si="10"/>
        <v>72178508</v>
      </c>
      <c r="J35" s="367">
        <f t="shared" si="10"/>
        <v>62314546</v>
      </c>
      <c r="K35" s="367">
        <f t="shared" si="10"/>
        <v>1696650</v>
      </c>
      <c r="L35" s="367">
        <f t="shared" si="10"/>
        <v>13457593</v>
      </c>
      <c r="M35" s="366">
        <f>SUM(M9:M34)</f>
        <v>149647297</v>
      </c>
      <c r="N35" s="366">
        <f>SUM(N9:N34)</f>
        <v>152476867</v>
      </c>
      <c r="O35" s="142">
        <f t="shared" si="8"/>
        <v>1.8557372378329364</v>
      </c>
      <c r="P35" s="347">
        <f aca="true" t="shared" si="11" ref="P35:U35">SUM(P9:P34)</f>
        <v>2662033</v>
      </c>
      <c r="Q35" s="21">
        <f t="shared" si="11"/>
        <v>439699</v>
      </c>
      <c r="R35" s="21">
        <f t="shared" si="11"/>
        <v>2222334</v>
      </c>
      <c r="S35" s="185">
        <f t="shared" si="11"/>
        <v>167537</v>
      </c>
      <c r="T35" s="21">
        <f t="shared" si="11"/>
        <v>115134</v>
      </c>
      <c r="U35" s="185">
        <f t="shared" si="11"/>
        <v>52403</v>
      </c>
      <c r="V35" s="344"/>
      <c r="W35" s="317"/>
      <c r="Z35" s="345"/>
      <c r="AA35" s="345"/>
      <c r="AB35" s="345"/>
    </row>
    <row r="36" spans="1:28" ht="15">
      <c r="A36" s="186">
        <v>27</v>
      </c>
      <c r="B36" s="28" t="s">
        <v>48</v>
      </c>
      <c r="C36" s="186"/>
      <c r="D36" s="366"/>
      <c r="E36" s="366"/>
      <c r="F36" s="366"/>
      <c r="G36" s="366">
        <v>86248</v>
      </c>
      <c r="H36" s="366">
        <f t="shared" si="5"/>
        <v>86248</v>
      </c>
      <c r="I36" s="367">
        <v>7424422</v>
      </c>
      <c r="J36" s="367">
        <v>3755144</v>
      </c>
      <c r="K36" s="367"/>
      <c r="L36" s="367">
        <v>962588</v>
      </c>
      <c r="M36" s="366">
        <f>I36+K36+J36+L36</f>
        <v>12142154</v>
      </c>
      <c r="N36" s="366">
        <f t="shared" si="7"/>
        <v>12228402</v>
      </c>
      <c r="O36" s="373" t="s">
        <v>130</v>
      </c>
      <c r="AB36" s="345"/>
    </row>
    <row r="37" spans="1:28" ht="15">
      <c r="A37" s="186">
        <v>28</v>
      </c>
      <c r="B37" s="28" t="s">
        <v>49</v>
      </c>
      <c r="C37" s="186"/>
      <c r="D37" s="366"/>
      <c r="E37" s="366"/>
      <c r="F37" s="366"/>
      <c r="G37" s="366">
        <v>97213</v>
      </c>
      <c r="H37" s="366">
        <f t="shared" si="5"/>
        <v>97213</v>
      </c>
      <c r="I37" s="367">
        <v>5982157</v>
      </c>
      <c r="J37" s="367">
        <v>3488432</v>
      </c>
      <c r="K37" s="367"/>
      <c r="L37" s="367">
        <v>459822</v>
      </c>
      <c r="M37" s="366">
        <f>I37+K37+J37+L37</f>
        <v>9930411</v>
      </c>
      <c r="N37" s="366">
        <f t="shared" si="7"/>
        <v>10027624</v>
      </c>
      <c r="O37" s="373" t="s">
        <v>130</v>
      </c>
      <c r="Q37" s="351"/>
      <c r="R37" s="351"/>
      <c r="S37" s="345"/>
      <c r="T37" s="345"/>
      <c r="U37" s="345"/>
      <c r="Z37" s="345"/>
      <c r="AB37" s="345"/>
    </row>
    <row r="38" spans="1:28" ht="15">
      <c r="A38" s="186"/>
      <c r="B38" s="28" t="s">
        <v>50</v>
      </c>
      <c r="C38" s="186">
        <v>4</v>
      </c>
      <c r="D38" s="366">
        <f aca="true" t="shared" si="12" ref="D38:J38">SUM(D35:D37)</f>
        <v>2662033</v>
      </c>
      <c r="E38" s="366">
        <f t="shared" si="12"/>
        <v>167537</v>
      </c>
      <c r="F38" s="366">
        <f t="shared" si="12"/>
        <v>2829570</v>
      </c>
      <c r="G38" s="366">
        <f t="shared" si="12"/>
        <v>183461</v>
      </c>
      <c r="H38" s="366">
        <f t="shared" si="12"/>
        <v>3013031</v>
      </c>
      <c r="I38" s="367">
        <f t="shared" si="12"/>
        <v>85585087</v>
      </c>
      <c r="J38" s="367">
        <f t="shared" si="12"/>
        <v>69558122</v>
      </c>
      <c r="K38" s="367">
        <f>SUM(K35:K37)</f>
        <v>1696650</v>
      </c>
      <c r="L38" s="367">
        <f>SUM(L35:L37)</f>
        <v>14880003</v>
      </c>
      <c r="M38" s="366">
        <f>SUM(M35:M37)</f>
        <v>171719862</v>
      </c>
      <c r="N38" s="366">
        <f>SUM(N35:N37)</f>
        <v>174732893</v>
      </c>
      <c r="O38" s="142">
        <f>F38/N38*100</f>
        <v>1.6193688271389177</v>
      </c>
      <c r="Q38" s="351"/>
      <c r="S38" s="345"/>
      <c r="T38" s="345"/>
      <c r="U38" s="345"/>
      <c r="Z38" s="345"/>
      <c r="AA38" s="345"/>
      <c r="AB38" s="345"/>
    </row>
    <row r="39" spans="1:28" ht="15">
      <c r="A39" s="28" t="s">
        <v>51</v>
      </c>
      <c r="B39" s="352"/>
      <c r="C39" s="353"/>
      <c r="D39" s="369">
        <f>D38/$N$38*100</f>
        <v>1.5234870517481789</v>
      </c>
      <c r="E39" s="369">
        <f aca="true" t="shared" si="13" ref="E39:N39">E38/$N$38*100</f>
        <v>0.09588177539073883</v>
      </c>
      <c r="F39" s="369">
        <f t="shared" si="13"/>
        <v>1.6193688271389177</v>
      </c>
      <c r="G39" s="369">
        <f t="shared" si="13"/>
        <v>0.10499511388505425</v>
      </c>
      <c r="H39" s="369">
        <f t="shared" si="13"/>
        <v>1.724363941023972</v>
      </c>
      <c r="I39" s="369">
        <f t="shared" si="13"/>
        <v>48.980524233637</v>
      </c>
      <c r="J39" s="369">
        <f t="shared" si="13"/>
        <v>39.80825865453965</v>
      </c>
      <c r="K39" s="369">
        <f t="shared" si="13"/>
        <v>0.9709963424001685</v>
      </c>
      <c r="L39" s="369">
        <f t="shared" si="13"/>
        <v>8.515856828399219</v>
      </c>
      <c r="M39" s="369">
        <f t="shared" si="13"/>
        <v>98.27563605897602</v>
      </c>
      <c r="N39" s="369">
        <f t="shared" si="13"/>
        <v>100</v>
      </c>
      <c r="O39" s="354"/>
      <c r="Z39" s="345"/>
      <c r="AA39" s="345"/>
      <c r="AB39" s="345"/>
    </row>
    <row r="40" spans="1:17" ht="15">
      <c r="A40" s="163"/>
      <c r="B40" s="355"/>
      <c r="C40" s="356"/>
      <c r="D40" s="370"/>
      <c r="E40" s="370"/>
      <c r="F40" s="370"/>
      <c r="G40" s="370"/>
      <c r="H40" s="370"/>
      <c r="I40" s="371"/>
      <c r="J40" s="370"/>
      <c r="K40" s="370"/>
      <c r="L40" s="370"/>
      <c r="M40" s="370"/>
      <c r="N40" s="370"/>
      <c r="O40" s="357"/>
      <c r="Q40" s="345"/>
    </row>
    <row r="41" spans="1:15" ht="15">
      <c r="A41" s="28" t="str">
        <f>'Anne-6'!A42</f>
        <v>Conn. As on 30.11.2012</v>
      </c>
      <c r="B41" s="352"/>
      <c r="C41" s="353">
        <v>4</v>
      </c>
      <c r="D41" s="372">
        <v>2826085</v>
      </c>
      <c r="E41" s="366">
        <v>168877</v>
      </c>
      <c r="F41" s="366">
        <v>2994962</v>
      </c>
      <c r="G41" s="372">
        <v>184533</v>
      </c>
      <c r="H41" s="366">
        <v>3179495</v>
      </c>
      <c r="I41" s="367">
        <v>100951296</v>
      </c>
      <c r="J41" s="372">
        <v>72515165</v>
      </c>
      <c r="K41" s="372">
        <v>1633414</v>
      </c>
      <c r="L41" s="372">
        <v>15669423</v>
      </c>
      <c r="M41" s="372">
        <v>190769298</v>
      </c>
      <c r="N41" s="366">
        <v>193948793</v>
      </c>
      <c r="O41" s="151">
        <f>F41/N41*100</f>
        <v>1.5442024431675634</v>
      </c>
    </row>
    <row r="42" spans="1:15" ht="15">
      <c r="A42" s="28" t="str">
        <f>'Anne-6'!A43</f>
        <v>Addition during Dec 2012</v>
      </c>
      <c r="B42" s="358"/>
      <c r="C42" s="359">
        <v>3</v>
      </c>
      <c r="D42" s="372">
        <f>D38-D41</f>
        <v>-164052</v>
      </c>
      <c r="E42" s="372">
        <f>E38-E41</f>
        <v>-1340</v>
      </c>
      <c r="F42" s="372">
        <f>F38-F41</f>
        <v>-165392</v>
      </c>
      <c r="G42" s="372">
        <f>G38-G41</f>
        <v>-1072</v>
      </c>
      <c r="H42" s="372">
        <f>H38-H41</f>
        <v>-166464</v>
      </c>
      <c r="I42" s="372">
        <f aca="true" t="shared" si="14" ref="I42:N42">I38-I41</f>
        <v>-15366209</v>
      </c>
      <c r="J42" s="372">
        <f t="shared" si="14"/>
        <v>-2957043</v>
      </c>
      <c r="K42" s="372">
        <f t="shared" si="14"/>
        <v>63236</v>
      </c>
      <c r="L42" s="372">
        <f t="shared" si="14"/>
        <v>-789420</v>
      </c>
      <c r="M42" s="372">
        <f>M38-M41</f>
        <v>-19049436</v>
      </c>
      <c r="N42" s="372">
        <f t="shared" si="14"/>
        <v>-19215900</v>
      </c>
      <c r="O42" s="414" t="s">
        <v>130</v>
      </c>
    </row>
    <row r="43" spans="1:15" ht="15">
      <c r="A43" s="28" t="str">
        <f>'Anne-6'!A44</f>
        <v>Conn. As on 31.03.2012</v>
      </c>
      <c r="B43" s="358"/>
      <c r="C43" s="359">
        <v>4</v>
      </c>
      <c r="D43" s="366">
        <v>3785997</v>
      </c>
      <c r="E43" s="366">
        <v>217917</v>
      </c>
      <c r="F43" s="366">
        <f>SUM(D43:E43)</f>
        <v>4003914</v>
      </c>
      <c r="G43" s="366">
        <v>250911</v>
      </c>
      <c r="H43" s="366">
        <v>4254825</v>
      </c>
      <c r="I43" s="367">
        <v>121205156</v>
      </c>
      <c r="J43" s="367">
        <v>81745797</v>
      </c>
      <c r="K43" s="367">
        <v>1331392</v>
      </c>
      <c r="L43" s="367">
        <v>15803039</v>
      </c>
      <c r="M43" s="372">
        <v>220085384</v>
      </c>
      <c r="N43" s="366">
        <v>224340209</v>
      </c>
      <c r="O43" s="151">
        <f>F43/N43*100</f>
        <v>1.7847509449364913</v>
      </c>
    </row>
    <row r="44" spans="1:15" ht="15">
      <c r="A44" s="28" t="str">
        <f>'Anne-6'!A45</f>
        <v>Addition during 2012-13</v>
      </c>
      <c r="B44" s="360"/>
      <c r="C44" s="361">
        <v>4</v>
      </c>
      <c r="D44" s="372">
        <f>D38-D43</f>
        <v>-1123964</v>
      </c>
      <c r="E44" s="372">
        <f>E38-E43</f>
        <v>-50380</v>
      </c>
      <c r="F44" s="372">
        <f>F38-F43</f>
        <v>-1174344</v>
      </c>
      <c r="G44" s="372">
        <f>G38-G43</f>
        <v>-67450</v>
      </c>
      <c r="H44" s="372">
        <f aca="true" t="shared" si="15" ref="H44:M44">H38-H43</f>
        <v>-1241794</v>
      </c>
      <c r="I44" s="372">
        <f t="shared" si="15"/>
        <v>-35620069</v>
      </c>
      <c r="J44" s="372">
        <f t="shared" si="15"/>
        <v>-12187675</v>
      </c>
      <c r="K44" s="372">
        <f t="shared" si="15"/>
        <v>365258</v>
      </c>
      <c r="L44" s="372">
        <f t="shared" si="15"/>
        <v>-923036</v>
      </c>
      <c r="M44" s="372">
        <f t="shared" si="15"/>
        <v>-48365522</v>
      </c>
      <c r="N44" s="372">
        <f>N38-N43</f>
        <v>-49607316</v>
      </c>
      <c r="O44" s="414" t="s">
        <v>130</v>
      </c>
    </row>
    <row r="45" spans="2:15" ht="15">
      <c r="B45" s="34"/>
      <c r="C45" s="34"/>
      <c r="I45" s="362"/>
      <c r="M45" s="75"/>
      <c r="O45" s="75"/>
    </row>
    <row r="46" spans="2:7" ht="15">
      <c r="B46" s="34"/>
      <c r="C46" s="34"/>
      <c r="D46" s="345"/>
      <c r="E46" s="345"/>
      <c r="F46" s="345"/>
      <c r="G46" s="345"/>
    </row>
    <row r="47" spans="2:9" ht="15">
      <c r="B47" s="34"/>
      <c r="C47" s="34"/>
      <c r="D47" s="345"/>
      <c r="E47" s="345"/>
      <c r="F47" s="345"/>
      <c r="I47" s="363"/>
    </row>
    <row r="48" spans="2:16" ht="15.75">
      <c r="B48" s="34"/>
      <c r="C48" s="34"/>
      <c r="D48" s="345"/>
      <c r="E48" s="345"/>
      <c r="F48" s="345"/>
      <c r="M48" s="345"/>
      <c r="P48" s="29"/>
    </row>
    <row r="49" spans="2:9" ht="15">
      <c r="B49" s="34"/>
      <c r="C49" s="34"/>
      <c r="D49" s="345"/>
      <c r="E49" s="345"/>
      <c r="F49" s="345"/>
      <c r="G49" s="345"/>
      <c r="I49" s="363"/>
    </row>
    <row r="50" ht="15">
      <c r="I50" s="363"/>
    </row>
  </sheetData>
  <sheetProtection/>
  <mergeCells count="18">
    <mergeCell ref="P6:U6"/>
    <mergeCell ref="P7:R7"/>
    <mergeCell ref="S7:U7"/>
    <mergeCell ref="N6:N8"/>
    <mergeCell ref="O6:O8"/>
    <mergeCell ref="I6:M6"/>
    <mergeCell ref="D7:F7"/>
    <mergeCell ref="G7:G8"/>
    <mergeCell ref="L7:L8"/>
    <mergeCell ref="J7:J8"/>
    <mergeCell ref="I7:I8"/>
    <mergeCell ref="M7:M8"/>
    <mergeCell ref="K7:K8"/>
    <mergeCell ref="A6:A8"/>
    <mergeCell ref="B6:B8"/>
    <mergeCell ref="C6:C8"/>
    <mergeCell ref="H7:H8"/>
    <mergeCell ref="D6:H6"/>
  </mergeCells>
  <conditionalFormatting sqref="O10:O34">
    <cfRule type="top10" priority="1" dxfId="1" stopIfTrue="1" rank="3" bottom="1"/>
    <cfRule type="top10" priority="2" dxfId="0" stopIfTrue="1" rank="3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view="pageBreakPreview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" sqref="H7:H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8" hidden="1" customWidth="1"/>
    <col min="8" max="8" width="10.28125" style="2" customWidth="1"/>
    <col min="9" max="9" width="10.57421875" style="2" customWidth="1"/>
    <col min="10" max="10" width="13.28125" style="2" bestFit="1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7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31st January 2013.</v>
      </c>
    </row>
    <row r="3" ht="9" customHeight="1"/>
    <row r="4" spans="2:3" ht="15.75">
      <c r="B4" s="29" t="s">
        <v>233</v>
      </c>
      <c r="C4" s="29"/>
    </row>
    <row r="5" spans="4:14" ht="15">
      <c r="D5" s="91">
        <v>1</v>
      </c>
      <c r="E5" s="91">
        <v>2</v>
      </c>
      <c r="F5" s="91"/>
      <c r="G5" s="99">
        <v>3</v>
      </c>
      <c r="H5" s="91">
        <v>3</v>
      </c>
      <c r="I5" s="91">
        <v>4</v>
      </c>
      <c r="J5" s="91">
        <v>5</v>
      </c>
      <c r="K5" s="91">
        <v>6</v>
      </c>
      <c r="L5" s="91">
        <v>7</v>
      </c>
      <c r="M5" s="91">
        <v>8</v>
      </c>
      <c r="N5" s="54"/>
    </row>
    <row r="6" spans="1:19" ht="14.25">
      <c r="A6" s="469" t="s">
        <v>19</v>
      </c>
      <c r="B6" s="469" t="s">
        <v>20</v>
      </c>
      <c r="C6" s="17" t="s">
        <v>18</v>
      </c>
      <c r="D6" s="112"/>
      <c r="E6" s="18"/>
      <c r="F6" s="18"/>
      <c r="G6" s="100"/>
      <c r="H6" s="18"/>
      <c r="I6" s="18"/>
      <c r="J6" s="18"/>
      <c r="K6" s="18"/>
      <c r="L6" s="18"/>
      <c r="M6" s="18"/>
      <c r="N6" s="18"/>
      <c r="O6" s="19"/>
      <c r="P6" s="558" t="s">
        <v>120</v>
      </c>
      <c r="Q6" s="561" t="s">
        <v>1</v>
      </c>
      <c r="R6" s="561"/>
      <c r="S6" s="561"/>
    </row>
    <row r="7" spans="1:19" ht="12.75" customHeight="1">
      <c r="A7" s="469"/>
      <c r="B7" s="469"/>
      <c r="C7" s="575" t="s">
        <v>118</v>
      </c>
      <c r="D7" s="554" t="s">
        <v>96</v>
      </c>
      <c r="E7" s="574" t="s">
        <v>2</v>
      </c>
      <c r="F7" s="557" t="s">
        <v>52</v>
      </c>
      <c r="G7" s="571" t="s">
        <v>17</v>
      </c>
      <c r="H7" s="539" t="s">
        <v>123</v>
      </c>
      <c r="I7" s="572" t="s">
        <v>15</v>
      </c>
      <c r="J7" s="572" t="s">
        <v>16</v>
      </c>
      <c r="K7" s="577" t="s">
        <v>189</v>
      </c>
      <c r="L7" s="577" t="s">
        <v>190</v>
      </c>
      <c r="M7" s="577" t="s">
        <v>209</v>
      </c>
      <c r="N7" s="578" t="s">
        <v>53</v>
      </c>
      <c r="O7" s="470" t="s">
        <v>57</v>
      </c>
      <c r="P7" s="559"/>
      <c r="Q7" s="561"/>
      <c r="R7" s="561"/>
      <c r="S7" s="561"/>
    </row>
    <row r="8" spans="1:19" ht="48" customHeight="1">
      <c r="A8" s="469"/>
      <c r="B8" s="469"/>
      <c r="C8" s="531"/>
      <c r="D8" s="573"/>
      <c r="E8" s="470"/>
      <c r="F8" s="554"/>
      <c r="G8" s="572"/>
      <c r="H8" s="541"/>
      <c r="I8" s="576"/>
      <c r="J8" s="576"/>
      <c r="K8" s="576"/>
      <c r="L8" s="576"/>
      <c r="M8" s="576"/>
      <c r="N8" s="578"/>
      <c r="O8" s="470"/>
      <c r="P8" s="560"/>
      <c r="Q8" s="52" t="s">
        <v>47</v>
      </c>
      <c r="R8" s="45" t="s">
        <v>87</v>
      </c>
      <c r="S8" s="410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1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13584</v>
      </c>
      <c r="R9" s="328">
        <v>7873</v>
      </c>
      <c r="S9" s="328">
        <v>5711</v>
      </c>
      <c r="U9" s="2">
        <v>13584</v>
      </c>
      <c r="Z9" s="2">
        <v>85.60482966824058</v>
      </c>
    </row>
    <row r="10" spans="1:26" ht="14.25">
      <c r="A10" s="5">
        <v>2</v>
      </c>
      <c r="B10" s="6" t="s">
        <v>22</v>
      </c>
      <c r="C10" s="86">
        <v>1</v>
      </c>
      <c r="D10" s="8">
        <f>Q10</f>
        <v>1871305</v>
      </c>
      <c r="E10" s="8"/>
      <c r="F10" s="8">
        <f aca="true" t="shared" si="1" ref="F10:F37">SUM(D10:E10)</f>
        <v>1871305</v>
      </c>
      <c r="G10" s="71">
        <v>125670</v>
      </c>
      <c r="H10" s="71">
        <f>G10</f>
        <v>125670</v>
      </c>
      <c r="I10" s="71">
        <v>89665</v>
      </c>
      <c r="J10" s="71">
        <v>169544</v>
      </c>
      <c r="K10" s="8"/>
      <c r="L10" s="8"/>
      <c r="M10" s="8">
        <v>5340</v>
      </c>
      <c r="N10" s="8">
        <f>M10+L10+J10+I10+K10+H10</f>
        <v>390219</v>
      </c>
      <c r="O10" s="8">
        <f t="shared" si="0"/>
        <v>2261524</v>
      </c>
      <c r="P10" s="139">
        <f>D10/O10*100</f>
        <v>82.74530803122143</v>
      </c>
      <c r="Q10" s="8">
        <f aca="true" t="shared" si="2" ref="Q10:Q34">R10+S10</f>
        <v>1871305</v>
      </c>
      <c r="R10" s="328">
        <v>1240955</v>
      </c>
      <c r="S10" s="328">
        <v>630350</v>
      </c>
      <c r="U10" s="2">
        <v>1871305</v>
      </c>
      <c r="Z10" s="2">
        <v>99.80086852457846</v>
      </c>
    </row>
    <row r="11" spans="1:26" ht="14.25">
      <c r="A11" s="5">
        <v>3</v>
      </c>
      <c r="B11" s="6" t="s">
        <v>23</v>
      </c>
      <c r="C11" s="86">
        <v>1</v>
      </c>
      <c r="D11" s="8">
        <f>Q11</f>
        <v>193952</v>
      </c>
      <c r="E11" s="8"/>
      <c r="F11" s="8">
        <f t="shared" si="1"/>
        <v>193952</v>
      </c>
      <c r="G11" s="71"/>
      <c r="H11" s="71">
        <f>G11</f>
        <v>0</v>
      </c>
      <c r="I11" s="71">
        <v>0</v>
      </c>
      <c r="J11" s="71">
        <v>2729</v>
      </c>
      <c r="K11" s="8"/>
      <c r="L11" s="8"/>
      <c r="M11" s="8">
        <v>60</v>
      </c>
      <c r="N11" s="8">
        <f aca="true" t="shared" si="3" ref="N11:N37">M11+L11+J11+I11+K11+H11</f>
        <v>2789</v>
      </c>
      <c r="O11" s="8">
        <f t="shared" si="0"/>
        <v>196741</v>
      </c>
      <c r="P11" s="139">
        <f aca="true" t="shared" si="4" ref="P11:P37">D11/O11*100</f>
        <v>98.5824002114455</v>
      </c>
      <c r="Q11" s="8">
        <f t="shared" si="2"/>
        <v>193952</v>
      </c>
      <c r="R11" s="328">
        <v>155965</v>
      </c>
      <c r="S11" s="328">
        <v>37987</v>
      </c>
      <c r="U11" s="2">
        <v>193952</v>
      </c>
      <c r="Z11" s="2">
        <v>99.29410131832813</v>
      </c>
    </row>
    <row r="12" spans="1:26" ht="14.25">
      <c r="A12" s="5">
        <v>4</v>
      </c>
      <c r="B12" s="6" t="s">
        <v>24</v>
      </c>
      <c r="C12" s="86">
        <v>1</v>
      </c>
      <c r="D12" s="8">
        <f>Q12+Q18</f>
        <v>543899</v>
      </c>
      <c r="E12" s="8"/>
      <c r="F12" s="8">
        <f t="shared" si="1"/>
        <v>543899</v>
      </c>
      <c r="G12" s="71"/>
      <c r="H12" s="71">
        <f aca="true" t="shared" si="5" ref="H12:H37">G12</f>
        <v>0</v>
      </c>
      <c r="I12" s="71">
        <v>4978</v>
      </c>
      <c r="J12" s="71">
        <v>11154</v>
      </c>
      <c r="K12" s="8"/>
      <c r="L12" s="8"/>
      <c r="M12" s="8"/>
      <c r="N12" s="8">
        <f t="shared" si="3"/>
        <v>16132</v>
      </c>
      <c r="O12" s="8">
        <f t="shared" si="0"/>
        <v>560031</v>
      </c>
      <c r="P12" s="139">
        <f t="shared" si="4"/>
        <v>97.11944517357075</v>
      </c>
      <c r="Q12" s="8">
        <f t="shared" si="2"/>
        <v>382971</v>
      </c>
      <c r="R12" s="328">
        <v>235405</v>
      </c>
      <c r="S12" s="328">
        <v>147566</v>
      </c>
      <c r="U12" s="2">
        <v>382971</v>
      </c>
      <c r="Z12" s="2">
        <v>89.63273485884523</v>
      </c>
    </row>
    <row r="13" spans="1:26" ht="14.25">
      <c r="A13" s="5">
        <v>5</v>
      </c>
      <c r="B13" s="6" t="s">
        <v>25</v>
      </c>
      <c r="C13" s="86"/>
      <c r="D13" s="8"/>
      <c r="E13" s="8"/>
      <c r="F13" s="8">
        <f t="shared" si="1"/>
        <v>0</v>
      </c>
      <c r="G13" s="71">
        <v>55463</v>
      </c>
      <c r="H13" s="71"/>
      <c r="I13" s="71"/>
      <c r="J13" s="71"/>
      <c r="K13" s="8"/>
      <c r="L13" s="8"/>
      <c r="M13" s="8"/>
      <c r="N13" s="8">
        <f t="shared" si="3"/>
        <v>0</v>
      </c>
      <c r="O13" s="8">
        <f t="shared" si="0"/>
        <v>0</v>
      </c>
      <c r="P13" s="139"/>
      <c r="Q13" s="8">
        <f t="shared" si="2"/>
        <v>143629</v>
      </c>
      <c r="R13" s="328">
        <v>122397</v>
      </c>
      <c r="S13" s="328">
        <v>21232</v>
      </c>
      <c r="U13" s="2">
        <v>143629</v>
      </c>
      <c r="Z13" s="2">
        <v>95.65037645182001</v>
      </c>
    </row>
    <row r="14" spans="1:26" ht="14.25">
      <c r="A14" s="5">
        <v>6</v>
      </c>
      <c r="B14" s="6" t="s">
        <v>26</v>
      </c>
      <c r="C14" s="86">
        <v>1</v>
      </c>
      <c r="D14" s="8">
        <f>Q14</f>
        <v>1561561</v>
      </c>
      <c r="E14" s="8"/>
      <c r="F14" s="8">
        <f t="shared" si="1"/>
        <v>1561561</v>
      </c>
      <c r="G14" s="71">
        <v>55397</v>
      </c>
      <c r="H14" s="71">
        <f t="shared" si="5"/>
        <v>55397</v>
      </c>
      <c r="I14" s="71">
        <v>101231</v>
      </c>
      <c r="J14" s="71">
        <v>68546</v>
      </c>
      <c r="K14" s="8"/>
      <c r="L14" s="8"/>
      <c r="M14" s="8">
        <v>210</v>
      </c>
      <c r="N14" s="8">
        <f t="shared" si="3"/>
        <v>225384</v>
      </c>
      <c r="O14" s="8">
        <f t="shared" si="0"/>
        <v>1786945</v>
      </c>
      <c r="P14" s="139">
        <f t="shared" si="4"/>
        <v>87.38718874951384</v>
      </c>
      <c r="Q14" s="8">
        <f t="shared" si="2"/>
        <v>1561561</v>
      </c>
      <c r="R14" s="328">
        <v>1203373</v>
      </c>
      <c r="S14" s="328">
        <v>358188</v>
      </c>
      <c r="U14" s="2">
        <v>1561561</v>
      </c>
      <c r="Z14" s="2">
        <v>98.70950073495302</v>
      </c>
    </row>
    <row r="15" spans="1:26" ht="14.25">
      <c r="A15" s="5">
        <v>7</v>
      </c>
      <c r="B15" s="6" t="s">
        <v>27</v>
      </c>
      <c r="C15" s="86">
        <v>1</v>
      </c>
      <c r="D15" s="8">
        <f>Q15</f>
        <v>515927</v>
      </c>
      <c r="E15" s="8"/>
      <c r="F15" s="8">
        <f t="shared" si="1"/>
        <v>515927</v>
      </c>
      <c r="G15" s="71">
        <v>23935</v>
      </c>
      <c r="H15" s="71">
        <f t="shared" si="5"/>
        <v>23935</v>
      </c>
      <c r="I15" s="71">
        <v>5146</v>
      </c>
      <c r="J15" s="71">
        <v>26336</v>
      </c>
      <c r="K15" s="8"/>
      <c r="L15" s="8"/>
      <c r="M15" s="8"/>
      <c r="N15" s="8">
        <f t="shared" si="3"/>
        <v>55417</v>
      </c>
      <c r="O15" s="8">
        <f t="shared" si="0"/>
        <v>571344</v>
      </c>
      <c r="P15" s="139">
        <f t="shared" si="4"/>
        <v>90.30058948724411</v>
      </c>
      <c r="Q15" s="8">
        <f t="shared" si="2"/>
        <v>515927</v>
      </c>
      <c r="R15" s="328">
        <v>344899</v>
      </c>
      <c r="S15" s="328">
        <v>171028</v>
      </c>
      <c r="U15" s="2">
        <v>515927</v>
      </c>
      <c r="Z15" s="2">
        <v>99.97113064460531</v>
      </c>
    </row>
    <row r="16" spans="1:26" ht="14.25">
      <c r="A16" s="5">
        <v>8</v>
      </c>
      <c r="B16" s="6" t="s">
        <v>28</v>
      </c>
      <c r="C16" s="86">
        <v>1</v>
      </c>
      <c r="D16" s="8">
        <f>Q16</f>
        <v>285983</v>
      </c>
      <c r="E16" s="8"/>
      <c r="F16" s="8">
        <f t="shared" si="1"/>
        <v>285983</v>
      </c>
      <c r="G16" s="71"/>
      <c r="H16" s="71">
        <f t="shared" si="5"/>
        <v>0</v>
      </c>
      <c r="I16" s="71">
        <v>4462</v>
      </c>
      <c r="J16" s="71">
        <v>2225</v>
      </c>
      <c r="K16" s="8"/>
      <c r="L16" s="8"/>
      <c r="M16" s="8"/>
      <c r="N16" s="8">
        <f t="shared" si="3"/>
        <v>6687</v>
      </c>
      <c r="O16" s="8">
        <f t="shared" si="0"/>
        <v>292670</v>
      </c>
      <c r="P16" s="139">
        <f t="shared" si="4"/>
        <v>97.71517408685551</v>
      </c>
      <c r="Q16" s="8">
        <f t="shared" si="2"/>
        <v>285983</v>
      </c>
      <c r="R16" s="328">
        <v>60357</v>
      </c>
      <c r="S16" s="328">
        <v>225626</v>
      </c>
      <c r="U16" s="2">
        <v>285983</v>
      </c>
      <c r="Z16" s="2">
        <v>75.71221873871875</v>
      </c>
    </row>
    <row r="17" spans="1:26" ht="14.25">
      <c r="A17" s="5">
        <v>9</v>
      </c>
      <c r="B17" s="6" t="s">
        <v>29</v>
      </c>
      <c r="C17" s="86">
        <v>1</v>
      </c>
      <c r="D17" s="8">
        <f>Q17</f>
        <v>198715</v>
      </c>
      <c r="E17" s="8"/>
      <c r="F17" s="8">
        <f t="shared" si="1"/>
        <v>198715</v>
      </c>
      <c r="G17" s="71"/>
      <c r="H17" s="71">
        <f t="shared" si="5"/>
        <v>0</v>
      </c>
      <c r="I17" s="71">
        <v>0</v>
      </c>
      <c r="J17" s="71">
        <v>370</v>
      </c>
      <c r="K17" s="8"/>
      <c r="L17" s="8"/>
      <c r="M17" s="8"/>
      <c r="N17" s="8">
        <f t="shared" si="3"/>
        <v>370</v>
      </c>
      <c r="O17" s="8">
        <f t="shared" si="0"/>
        <v>199085</v>
      </c>
      <c r="P17" s="139">
        <f t="shared" si="4"/>
        <v>99.81414973503779</v>
      </c>
      <c r="Q17" s="8">
        <f t="shared" si="2"/>
        <v>198715</v>
      </c>
      <c r="R17" s="328">
        <v>162006</v>
      </c>
      <c r="S17" s="328">
        <v>36709</v>
      </c>
      <c r="U17" s="2">
        <v>198715</v>
      </c>
      <c r="Z17" s="2">
        <v>96.67962101031165</v>
      </c>
    </row>
    <row r="18" spans="1:26" ht="14.25">
      <c r="A18" s="5">
        <v>10</v>
      </c>
      <c r="B18" s="6" t="s">
        <v>30</v>
      </c>
      <c r="C18" s="86"/>
      <c r="D18" s="8"/>
      <c r="E18" s="8"/>
      <c r="F18" s="8">
        <f t="shared" si="1"/>
        <v>0</v>
      </c>
      <c r="G18" s="71"/>
      <c r="H18" s="71">
        <f t="shared" si="5"/>
        <v>0</v>
      </c>
      <c r="I18" s="71"/>
      <c r="J18" s="71"/>
      <c r="K18" s="8"/>
      <c r="L18" s="8"/>
      <c r="M18" s="8"/>
      <c r="N18" s="8">
        <f t="shared" si="3"/>
        <v>0</v>
      </c>
      <c r="O18" s="8">
        <f t="shared" si="0"/>
        <v>0</v>
      </c>
      <c r="P18" s="139"/>
      <c r="Q18" s="8">
        <f t="shared" si="2"/>
        <v>160928</v>
      </c>
      <c r="R18" s="328">
        <v>145400</v>
      </c>
      <c r="S18" s="328">
        <v>15528</v>
      </c>
      <c r="U18" s="2">
        <v>160928</v>
      </c>
      <c r="Z18" s="2">
        <v>78.24355311618743</v>
      </c>
    </row>
    <row r="19" spans="1:26" ht="14.25">
      <c r="A19" s="5">
        <v>11</v>
      </c>
      <c r="B19" s="6" t="s">
        <v>31</v>
      </c>
      <c r="C19" s="86">
        <v>1</v>
      </c>
      <c r="D19" s="8">
        <f>Q19</f>
        <v>1705830</v>
      </c>
      <c r="E19" s="8"/>
      <c r="F19" s="8">
        <f t="shared" si="1"/>
        <v>1705830</v>
      </c>
      <c r="G19" s="71">
        <v>491746</v>
      </c>
      <c r="H19" s="71">
        <f t="shared" si="5"/>
        <v>491746</v>
      </c>
      <c r="I19" s="71">
        <v>113270</v>
      </c>
      <c r="J19" s="71">
        <v>137184</v>
      </c>
      <c r="K19" s="8"/>
      <c r="L19" s="8"/>
      <c r="M19" s="8">
        <v>2760</v>
      </c>
      <c r="N19" s="8">
        <f t="shared" si="3"/>
        <v>744960</v>
      </c>
      <c r="O19" s="8">
        <f t="shared" si="0"/>
        <v>2450790</v>
      </c>
      <c r="P19" s="139">
        <f t="shared" si="4"/>
        <v>69.60327078207436</v>
      </c>
      <c r="Q19" s="8">
        <f t="shared" si="2"/>
        <v>1705830</v>
      </c>
      <c r="R19" s="328">
        <v>1311692</v>
      </c>
      <c r="S19" s="328">
        <v>394138</v>
      </c>
      <c r="U19" s="2">
        <v>1705830</v>
      </c>
      <c r="Z19" s="2">
        <v>89.60746703418836</v>
      </c>
    </row>
    <row r="20" spans="1:26" ht="14.25">
      <c r="A20" s="5">
        <v>12</v>
      </c>
      <c r="B20" s="6" t="s">
        <v>32</v>
      </c>
      <c r="C20" s="86">
        <v>1</v>
      </c>
      <c r="D20" s="8">
        <f>Q20</f>
        <v>2972537</v>
      </c>
      <c r="E20" s="8"/>
      <c r="F20" s="8">
        <f t="shared" si="1"/>
        <v>2972537</v>
      </c>
      <c r="G20" s="71">
        <v>55903</v>
      </c>
      <c r="H20" s="71">
        <f>G20</f>
        <v>55903</v>
      </c>
      <c r="I20" s="71">
        <v>54469</v>
      </c>
      <c r="J20" s="71">
        <v>11640</v>
      </c>
      <c r="K20" s="8"/>
      <c r="L20" s="8"/>
      <c r="M20" s="8"/>
      <c r="N20" s="8">
        <f t="shared" si="3"/>
        <v>122012</v>
      </c>
      <c r="O20" s="8">
        <f t="shared" si="0"/>
        <v>3094549</v>
      </c>
      <c r="P20" s="139">
        <f t="shared" si="4"/>
        <v>96.05719605667902</v>
      </c>
      <c r="Q20" s="8">
        <f t="shared" si="2"/>
        <v>2972537</v>
      </c>
      <c r="R20" s="328">
        <v>924733</v>
      </c>
      <c r="S20" s="328">
        <v>2047804</v>
      </c>
      <c r="U20" s="2">
        <v>2972537</v>
      </c>
      <c r="Z20" s="2">
        <v>99.97456889684165</v>
      </c>
    </row>
    <row r="21" spans="1:26" ht="14.25">
      <c r="A21" s="5">
        <v>13</v>
      </c>
      <c r="B21" s="6" t="s">
        <v>33</v>
      </c>
      <c r="C21" s="86">
        <v>1</v>
      </c>
      <c r="D21" s="8">
        <f>Q21+Q13</f>
        <v>834788</v>
      </c>
      <c r="E21" s="8"/>
      <c r="F21" s="8">
        <f t="shared" si="1"/>
        <v>834788</v>
      </c>
      <c r="G21" s="71">
        <v>186308</v>
      </c>
      <c r="H21" s="71">
        <f>G21+G13</f>
        <v>241771</v>
      </c>
      <c r="I21" s="71">
        <v>28459</v>
      </c>
      <c r="J21" s="71">
        <v>15188</v>
      </c>
      <c r="K21" s="8"/>
      <c r="L21" s="8"/>
      <c r="M21" s="8">
        <v>60</v>
      </c>
      <c r="N21" s="8">
        <f t="shared" si="3"/>
        <v>285478</v>
      </c>
      <c r="O21" s="8">
        <f t="shared" si="0"/>
        <v>1120266</v>
      </c>
      <c r="P21" s="139">
        <f t="shared" si="4"/>
        <v>74.51694508268571</v>
      </c>
      <c r="Q21" s="8">
        <f t="shared" si="2"/>
        <v>691159</v>
      </c>
      <c r="R21" s="328">
        <v>553356</v>
      </c>
      <c r="S21" s="328">
        <v>137803</v>
      </c>
      <c r="U21" s="2">
        <v>691159</v>
      </c>
      <c r="Z21" s="2">
        <v>98.60322263014092</v>
      </c>
    </row>
    <row r="22" spans="1:26" ht="14.25">
      <c r="A22" s="5">
        <v>14</v>
      </c>
      <c r="B22" s="6" t="s">
        <v>34</v>
      </c>
      <c r="C22" s="86">
        <v>1</v>
      </c>
      <c r="D22" s="8">
        <f>Q22</f>
        <v>2113234</v>
      </c>
      <c r="E22" s="8"/>
      <c r="F22" s="8">
        <f t="shared" si="1"/>
        <v>2113234</v>
      </c>
      <c r="G22" s="71">
        <v>70312</v>
      </c>
      <c r="H22" s="71">
        <f t="shared" si="5"/>
        <v>70312</v>
      </c>
      <c r="I22" s="71">
        <v>102069</v>
      </c>
      <c r="J22" s="71">
        <v>246381</v>
      </c>
      <c r="K22" s="8"/>
      <c r="L22" s="8"/>
      <c r="M22" s="8">
        <v>2550</v>
      </c>
      <c r="N22" s="8">
        <f t="shared" si="3"/>
        <v>421312</v>
      </c>
      <c r="O22" s="8">
        <f t="shared" si="0"/>
        <v>2534546</v>
      </c>
      <c r="P22" s="139">
        <f t="shared" si="4"/>
        <v>83.37722022011043</v>
      </c>
      <c r="Q22" s="8">
        <f t="shared" si="2"/>
        <v>2113234</v>
      </c>
      <c r="R22" s="328">
        <v>1523947</v>
      </c>
      <c r="S22" s="328">
        <v>589287</v>
      </c>
      <c r="U22" s="2">
        <v>2113234</v>
      </c>
      <c r="Z22" s="2">
        <v>79.92374107626578</v>
      </c>
    </row>
    <row r="23" spans="1:26" ht="14.25">
      <c r="A23" s="5">
        <v>15</v>
      </c>
      <c r="B23" s="6" t="s">
        <v>35</v>
      </c>
      <c r="C23" s="86">
        <v>1</v>
      </c>
      <c r="D23" s="8">
        <f>Q23+Q24</f>
        <v>217565</v>
      </c>
      <c r="E23" s="8"/>
      <c r="F23" s="8">
        <f t="shared" si="1"/>
        <v>217565</v>
      </c>
      <c r="G23" s="71"/>
      <c r="H23" s="71">
        <f t="shared" si="5"/>
        <v>0</v>
      </c>
      <c r="I23" s="71">
        <v>0</v>
      </c>
      <c r="J23" s="71">
        <v>238</v>
      </c>
      <c r="K23" s="8"/>
      <c r="L23" s="8"/>
      <c r="M23" s="8"/>
      <c r="N23" s="8">
        <f t="shared" si="3"/>
        <v>238</v>
      </c>
      <c r="O23" s="8">
        <f t="shared" si="0"/>
        <v>217803</v>
      </c>
      <c r="P23" s="139">
        <f t="shared" si="4"/>
        <v>99.89072694131853</v>
      </c>
      <c r="Q23" s="8">
        <f t="shared" si="2"/>
        <v>139609</v>
      </c>
      <c r="R23" s="328">
        <v>103940</v>
      </c>
      <c r="S23" s="328">
        <v>35669</v>
      </c>
      <c r="U23" s="2">
        <v>139609</v>
      </c>
      <c r="Z23" s="2">
        <v>92.71026885407557</v>
      </c>
    </row>
    <row r="24" spans="1:26" ht="14.25">
      <c r="A24" s="5">
        <v>16</v>
      </c>
      <c r="B24" s="6" t="s">
        <v>36</v>
      </c>
      <c r="C24" s="86"/>
      <c r="D24" s="8"/>
      <c r="E24" s="8"/>
      <c r="F24" s="8">
        <f t="shared" si="1"/>
        <v>0</v>
      </c>
      <c r="G24" s="71"/>
      <c r="H24" s="71">
        <f t="shared" si="5"/>
        <v>0</v>
      </c>
      <c r="I24" s="71"/>
      <c r="J24" s="71"/>
      <c r="K24" s="8"/>
      <c r="L24" s="8"/>
      <c r="M24" s="8"/>
      <c r="N24" s="8">
        <f t="shared" si="3"/>
        <v>0</v>
      </c>
      <c r="O24" s="8">
        <f t="shared" si="0"/>
        <v>0</v>
      </c>
      <c r="P24" s="139"/>
      <c r="Q24" s="8">
        <f t="shared" si="2"/>
        <v>77956</v>
      </c>
      <c r="R24" s="328">
        <v>60287</v>
      </c>
      <c r="S24" s="328">
        <v>17669</v>
      </c>
      <c r="U24" s="2">
        <v>77956</v>
      </c>
      <c r="Z24" s="2">
        <v>91.28337895095608</v>
      </c>
    </row>
    <row r="25" spans="1:26" ht="14.25">
      <c r="A25" s="5">
        <v>17</v>
      </c>
      <c r="B25" s="6" t="s">
        <v>37</v>
      </c>
      <c r="C25" s="86">
        <v>1</v>
      </c>
      <c r="D25" s="8">
        <f>Q25</f>
        <v>384670</v>
      </c>
      <c r="E25" s="8"/>
      <c r="F25" s="8">
        <f t="shared" si="1"/>
        <v>384670</v>
      </c>
      <c r="G25" s="71"/>
      <c r="H25" s="71">
        <f t="shared" si="5"/>
        <v>0</v>
      </c>
      <c r="I25" s="71">
        <v>3589</v>
      </c>
      <c r="J25" s="72">
        <v>6637</v>
      </c>
      <c r="K25" s="8"/>
      <c r="L25" s="8"/>
      <c r="M25" s="8">
        <v>210</v>
      </c>
      <c r="N25" s="8">
        <f t="shared" si="3"/>
        <v>10436</v>
      </c>
      <c r="O25" s="8">
        <f t="shared" si="0"/>
        <v>395106</v>
      </c>
      <c r="P25" s="139">
        <f t="shared" si="4"/>
        <v>97.35868349253111</v>
      </c>
      <c r="Q25" s="8">
        <f>R25+S25</f>
        <v>384670</v>
      </c>
      <c r="R25" s="328">
        <v>264268</v>
      </c>
      <c r="S25" s="328">
        <v>120402</v>
      </c>
      <c r="U25" s="2">
        <v>384670</v>
      </c>
      <c r="Z25" s="2">
        <v>94.06692280432698</v>
      </c>
    </row>
    <row r="26" spans="1:26" ht="14.25">
      <c r="A26" s="5">
        <v>18</v>
      </c>
      <c r="B26" s="6" t="s">
        <v>38</v>
      </c>
      <c r="C26" s="86">
        <v>1</v>
      </c>
      <c r="D26" s="8">
        <f>Q26</f>
        <v>1037448</v>
      </c>
      <c r="E26" s="8"/>
      <c r="F26" s="8">
        <f t="shared" si="1"/>
        <v>1037448</v>
      </c>
      <c r="G26" s="71">
        <v>105918</v>
      </c>
      <c r="H26" s="71">
        <f t="shared" si="5"/>
        <v>105918</v>
      </c>
      <c r="I26" s="71">
        <v>26754</v>
      </c>
      <c r="J26" s="71">
        <v>15966</v>
      </c>
      <c r="K26" s="71">
        <v>183823</v>
      </c>
      <c r="L26" s="71"/>
      <c r="M26" s="71">
        <v>240</v>
      </c>
      <c r="N26" s="8">
        <f t="shared" si="3"/>
        <v>332701</v>
      </c>
      <c r="O26" s="8">
        <f t="shared" si="0"/>
        <v>1370149</v>
      </c>
      <c r="P26" s="139">
        <f t="shared" si="4"/>
        <v>75.71789637477384</v>
      </c>
      <c r="Q26" s="8">
        <f t="shared" si="2"/>
        <v>1037448</v>
      </c>
      <c r="R26" s="328">
        <v>623214</v>
      </c>
      <c r="S26" s="328">
        <v>414234</v>
      </c>
      <c r="U26" s="2">
        <v>1037448</v>
      </c>
      <c r="Z26" s="2">
        <v>97.34495055716977</v>
      </c>
    </row>
    <row r="27" spans="1:26" ht="14.25">
      <c r="A27" s="5">
        <v>19</v>
      </c>
      <c r="B27" s="6" t="s">
        <v>39</v>
      </c>
      <c r="C27" s="86">
        <v>1</v>
      </c>
      <c r="D27" s="8">
        <f>Q27</f>
        <v>963456</v>
      </c>
      <c r="E27" s="8"/>
      <c r="F27" s="8">
        <f t="shared" si="1"/>
        <v>963456</v>
      </c>
      <c r="G27" s="71">
        <v>39361</v>
      </c>
      <c r="H27" s="71">
        <f>G27</f>
        <v>39361</v>
      </c>
      <c r="I27" s="71">
        <v>24739</v>
      </c>
      <c r="J27" s="72">
        <v>6848</v>
      </c>
      <c r="K27" s="71"/>
      <c r="L27" s="71">
        <v>49692</v>
      </c>
      <c r="M27" s="71">
        <v>240</v>
      </c>
      <c r="N27" s="8">
        <f t="shared" si="3"/>
        <v>120880</v>
      </c>
      <c r="O27" s="8">
        <f t="shared" si="0"/>
        <v>1084336</v>
      </c>
      <c r="P27" s="139">
        <f>D27/O27*100</f>
        <v>88.85216390491509</v>
      </c>
      <c r="Q27" s="8">
        <f t="shared" si="2"/>
        <v>963456</v>
      </c>
      <c r="R27" s="328">
        <v>670400</v>
      </c>
      <c r="S27" s="328">
        <v>293056</v>
      </c>
      <c r="U27" s="2">
        <v>963456</v>
      </c>
      <c r="Z27" s="2">
        <v>99.57320250470293</v>
      </c>
    </row>
    <row r="28" spans="1:26" ht="14.25">
      <c r="A28" s="5">
        <v>20</v>
      </c>
      <c r="B28" s="6" t="s">
        <v>40</v>
      </c>
      <c r="C28" s="86">
        <v>1</v>
      </c>
      <c r="D28" s="8">
        <f>Q28</f>
        <v>1607624</v>
      </c>
      <c r="E28" s="8"/>
      <c r="F28" s="8">
        <f t="shared" si="1"/>
        <v>1607624</v>
      </c>
      <c r="G28" s="71">
        <v>147353</v>
      </c>
      <c r="H28" s="71">
        <f t="shared" si="5"/>
        <v>147353</v>
      </c>
      <c r="I28" s="71">
        <v>38636</v>
      </c>
      <c r="J28" s="71">
        <v>8583</v>
      </c>
      <c r="K28" s="8"/>
      <c r="L28" s="8"/>
      <c r="M28" s="8">
        <v>1290</v>
      </c>
      <c r="N28" s="8">
        <f t="shared" si="3"/>
        <v>195862</v>
      </c>
      <c r="O28" s="8">
        <f t="shared" si="0"/>
        <v>1803486</v>
      </c>
      <c r="P28" s="139">
        <f t="shared" si="4"/>
        <v>89.13981034507614</v>
      </c>
      <c r="Q28" s="8">
        <f t="shared" si="2"/>
        <v>1607624</v>
      </c>
      <c r="R28" s="328">
        <v>1074703</v>
      </c>
      <c r="S28" s="328">
        <v>532921</v>
      </c>
      <c r="U28" s="2">
        <v>1607624</v>
      </c>
      <c r="Z28" s="2">
        <v>86.84519099492839</v>
      </c>
    </row>
    <row r="29" spans="1:26" ht="14.25">
      <c r="A29" s="5">
        <v>21</v>
      </c>
      <c r="B29" s="6" t="s">
        <v>41</v>
      </c>
      <c r="C29" s="86"/>
      <c r="D29" s="8"/>
      <c r="E29" s="8"/>
      <c r="F29" s="8">
        <f t="shared" si="1"/>
        <v>0</v>
      </c>
      <c r="G29" s="71"/>
      <c r="H29" s="71">
        <f t="shared" si="5"/>
        <v>0</v>
      </c>
      <c r="I29" s="71"/>
      <c r="J29" s="71"/>
      <c r="K29" s="8"/>
      <c r="L29" s="8"/>
      <c r="M29" s="8"/>
      <c r="N29" s="8">
        <f t="shared" si="3"/>
        <v>0</v>
      </c>
      <c r="O29" s="8">
        <f t="shared" si="0"/>
        <v>0</v>
      </c>
      <c r="P29" s="139"/>
      <c r="Q29" s="8">
        <f t="shared" si="2"/>
        <v>203078</v>
      </c>
      <c r="R29" s="328">
        <v>154717</v>
      </c>
      <c r="S29" s="328">
        <v>48361</v>
      </c>
      <c r="U29" s="2">
        <v>203078</v>
      </c>
      <c r="Z29" s="2">
        <v>68.69298009921071</v>
      </c>
    </row>
    <row r="30" spans="1:26" ht="14.25">
      <c r="A30" s="5">
        <v>22</v>
      </c>
      <c r="B30" s="6" t="s">
        <v>42</v>
      </c>
      <c r="C30" s="86">
        <v>1</v>
      </c>
      <c r="D30" s="8">
        <f>Q30</f>
        <v>954373</v>
      </c>
      <c r="E30" s="8"/>
      <c r="F30" s="8">
        <f t="shared" si="1"/>
        <v>954373</v>
      </c>
      <c r="G30" s="71">
        <v>50550</v>
      </c>
      <c r="H30" s="71">
        <f t="shared" si="5"/>
        <v>50550</v>
      </c>
      <c r="I30" s="71">
        <v>40461</v>
      </c>
      <c r="J30" s="72">
        <v>13263</v>
      </c>
      <c r="K30" s="8"/>
      <c r="L30" s="8"/>
      <c r="M30" s="8">
        <v>360</v>
      </c>
      <c r="N30" s="8">
        <f t="shared" si="3"/>
        <v>104634</v>
      </c>
      <c r="O30" s="8">
        <f t="shared" si="0"/>
        <v>1059007</v>
      </c>
      <c r="P30" s="139">
        <f t="shared" si="4"/>
        <v>90.11961205166727</v>
      </c>
      <c r="Q30" s="8">
        <f t="shared" si="2"/>
        <v>954373</v>
      </c>
      <c r="R30" s="328">
        <v>697893</v>
      </c>
      <c r="S30" s="328">
        <v>256480</v>
      </c>
      <c r="U30" s="2">
        <v>954373</v>
      </c>
      <c r="Z30" s="2">
        <v>88.91460676253703</v>
      </c>
    </row>
    <row r="31" spans="1:26" ht="14.25">
      <c r="A31" s="5">
        <v>23</v>
      </c>
      <c r="B31" s="6" t="s">
        <v>43</v>
      </c>
      <c r="C31" s="86">
        <v>1</v>
      </c>
      <c r="D31" s="8">
        <f>Q31+Q29</f>
        <v>735439</v>
      </c>
      <c r="E31" s="8"/>
      <c r="F31" s="8">
        <f t="shared" si="1"/>
        <v>735439</v>
      </c>
      <c r="G31" s="71">
        <v>24308</v>
      </c>
      <c r="H31" s="71">
        <f t="shared" si="5"/>
        <v>24308</v>
      </c>
      <c r="I31" s="71">
        <v>5520</v>
      </c>
      <c r="J31" s="72">
        <v>8363</v>
      </c>
      <c r="K31" s="8"/>
      <c r="L31" s="8"/>
      <c r="M31" s="8"/>
      <c r="N31" s="8">
        <f t="shared" si="3"/>
        <v>38191</v>
      </c>
      <c r="O31" s="8">
        <f t="shared" si="0"/>
        <v>773630</v>
      </c>
      <c r="P31" s="139">
        <f t="shared" si="4"/>
        <v>95.06340240166487</v>
      </c>
      <c r="Q31" s="8">
        <f t="shared" si="2"/>
        <v>532361</v>
      </c>
      <c r="R31" s="328">
        <v>454280</v>
      </c>
      <c r="S31" s="328">
        <v>78081</v>
      </c>
      <c r="U31" s="2">
        <v>532361</v>
      </c>
      <c r="Z31" s="2">
        <v>0</v>
      </c>
    </row>
    <row r="32" spans="1:26" ht="14.25">
      <c r="A32" s="5">
        <v>24</v>
      </c>
      <c r="B32" s="6" t="s">
        <v>44</v>
      </c>
      <c r="C32" s="86">
        <v>1</v>
      </c>
      <c r="D32" s="8">
        <f>Q32+Q9</f>
        <v>585158</v>
      </c>
      <c r="E32" s="8"/>
      <c r="F32" s="8">
        <f t="shared" si="1"/>
        <v>585158</v>
      </c>
      <c r="G32" s="71"/>
      <c r="H32" s="71">
        <f t="shared" si="5"/>
        <v>0</v>
      </c>
      <c r="I32" s="71">
        <v>2199</v>
      </c>
      <c r="J32" s="72">
        <v>6086</v>
      </c>
      <c r="K32" s="8"/>
      <c r="L32" s="8"/>
      <c r="M32" s="8"/>
      <c r="N32" s="8">
        <f t="shared" si="3"/>
        <v>8285</v>
      </c>
      <c r="O32" s="8">
        <f t="shared" si="0"/>
        <v>593443</v>
      </c>
      <c r="P32" s="139">
        <f t="shared" si="4"/>
        <v>98.6039097267977</v>
      </c>
      <c r="Q32" s="8">
        <f t="shared" si="2"/>
        <v>571574</v>
      </c>
      <c r="R32" s="328">
        <v>316724</v>
      </c>
      <c r="S32" s="328">
        <v>254850</v>
      </c>
      <c r="U32" s="2">
        <v>571574</v>
      </c>
      <c r="Z32" s="2">
        <v>0</v>
      </c>
    </row>
    <row r="33" spans="1:26" ht="14.25">
      <c r="A33" s="5">
        <v>25</v>
      </c>
      <c r="B33" s="6" t="s">
        <v>45</v>
      </c>
      <c r="C33" s="86">
        <v>1</v>
      </c>
      <c r="D33" s="8">
        <f>Q33</f>
        <v>938584</v>
      </c>
      <c r="E33" s="8"/>
      <c r="F33" s="8">
        <f t="shared" si="1"/>
        <v>938584</v>
      </c>
      <c r="G33" s="71">
        <v>93906</v>
      </c>
      <c r="H33" s="71">
        <f t="shared" si="5"/>
        <v>93906</v>
      </c>
      <c r="I33" s="71">
        <v>81350</v>
      </c>
      <c r="J33" s="71">
        <v>36569</v>
      </c>
      <c r="K33" s="8"/>
      <c r="L33" s="8"/>
      <c r="M33" s="8">
        <v>1230</v>
      </c>
      <c r="N33" s="8">
        <f t="shared" si="3"/>
        <v>213055</v>
      </c>
      <c r="O33" s="8">
        <f t="shared" si="0"/>
        <v>1151639</v>
      </c>
      <c r="P33" s="139">
        <f t="shared" si="4"/>
        <v>81.49984500351238</v>
      </c>
      <c r="Q33" s="8">
        <f t="shared" si="2"/>
        <v>938584</v>
      </c>
      <c r="R33" s="328">
        <v>938584</v>
      </c>
      <c r="S33" s="328">
        <v>0</v>
      </c>
      <c r="U33" s="2">
        <v>938584</v>
      </c>
      <c r="Z33" s="2">
        <v>75.3354056694775</v>
      </c>
    </row>
    <row r="34" spans="1:21" ht="14.25">
      <c r="A34" s="5">
        <v>26</v>
      </c>
      <c r="B34" s="6" t="s">
        <v>46</v>
      </c>
      <c r="C34" s="86">
        <v>1</v>
      </c>
      <c r="D34" s="8">
        <f>Q34</f>
        <v>819056</v>
      </c>
      <c r="E34" s="8"/>
      <c r="F34" s="8">
        <f t="shared" si="1"/>
        <v>819056</v>
      </c>
      <c r="G34" s="71">
        <v>338492</v>
      </c>
      <c r="H34" s="71">
        <f t="shared" si="5"/>
        <v>338492</v>
      </c>
      <c r="I34" s="71">
        <v>109510</v>
      </c>
      <c r="J34" s="71">
        <v>64320</v>
      </c>
      <c r="K34" s="8"/>
      <c r="L34" s="8"/>
      <c r="M34" s="8"/>
      <c r="N34" s="8">
        <f t="shared" si="3"/>
        <v>512322</v>
      </c>
      <c r="O34" s="8">
        <f t="shared" si="0"/>
        <v>1331378</v>
      </c>
      <c r="P34" s="139">
        <f t="shared" si="4"/>
        <v>61.51941822682965</v>
      </c>
      <c r="Q34" s="8">
        <f t="shared" si="2"/>
        <v>819056</v>
      </c>
      <c r="R34" s="328">
        <v>797854</v>
      </c>
      <c r="S34" s="328">
        <v>21202</v>
      </c>
      <c r="U34" s="2">
        <v>819056</v>
      </c>
    </row>
    <row r="35" spans="1:21" ht="15">
      <c r="A35" s="5"/>
      <c r="B35" s="7" t="s">
        <v>47</v>
      </c>
      <c r="C35" s="45">
        <v>1</v>
      </c>
      <c r="D35" s="8">
        <f>SUM(D9:D34)</f>
        <v>21041104</v>
      </c>
      <c r="E35" s="8">
        <f aca="true" t="shared" si="6" ref="E35:M35">SUM(E9:E34)</f>
        <v>0</v>
      </c>
      <c r="F35" s="8">
        <f t="shared" si="6"/>
        <v>21041104</v>
      </c>
      <c r="G35" s="71">
        <f t="shared" si="6"/>
        <v>1864622</v>
      </c>
      <c r="H35" s="71">
        <f t="shared" si="6"/>
        <v>1864622</v>
      </c>
      <c r="I35" s="71">
        <f t="shared" si="6"/>
        <v>836507</v>
      </c>
      <c r="J35" s="71">
        <f t="shared" si="6"/>
        <v>858170</v>
      </c>
      <c r="K35" s="8">
        <f t="shared" si="6"/>
        <v>183823</v>
      </c>
      <c r="L35" s="8">
        <f t="shared" si="6"/>
        <v>49692</v>
      </c>
      <c r="M35" s="8">
        <f t="shared" si="6"/>
        <v>14550</v>
      </c>
      <c r="N35" s="8">
        <f>SUM(N9:N34)</f>
        <v>3807364</v>
      </c>
      <c r="O35" s="8">
        <f>SUM(O9:O34)</f>
        <v>24848468</v>
      </c>
      <c r="P35" s="331">
        <f t="shared" si="4"/>
        <v>84.67767107412818</v>
      </c>
      <c r="Q35" s="31">
        <f>SUM(Q9:Q34)</f>
        <v>21041104</v>
      </c>
      <c r="R35" s="31">
        <f>SUM(R9:R34)</f>
        <v>14149222</v>
      </c>
      <c r="S35" s="31">
        <f>SUM(S9:S34)</f>
        <v>6891882</v>
      </c>
      <c r="U35" s="31">
        <f>SUM(U9:U34)</f>
        <v>21041104</v>
      </c>
    </row>
    <row r="36" spans="1:17" ht="14.25">
      <c r="A36" s="4">
        <v>27</v>
      </c>
      <c r="B36" s="3" t="s">
        <v>48</v>
      </c>
      <c r="C36" s="4"/>
      <c r="D36" s="11"/>
      <c r="E36" s="71">
        <v>1581934</v>
      </c>
      <c r="F36" s="8">
        <f t="shared" si="1"/>
        <v>1581934</v>
      </c>
      <c r="G36" s="71">
        <v>1082027</v>
      </c>
      <c r="H36" s="71">
        <f t="shared" si="5"/>
        <v>1082027</v>
      </c>
      <c r="I36" s="71">
        <v>186636</v>
      </c>
      <c r="J36" s="71">
        <v>88935</v>
      </c>
      <c r="K36" s="8"/>
      <c r="L36" s="8"/>
      <c r="M36" s="8">
        <v>7530</v>
      </c>
      <c r="N36" s="8">
        <f t="shared" si="3"/>
        <v>1365128</v>
      </c>
      <c r="O36" s="8">
        <f t="shared" si="0"/>
        <v>2947062</v>
      </c>
      <c r="P36" s="139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1">
        <v>1871920</v>
      </c>
      <c r="F37" s="8">
        <f t="shared" si="1"/>
        <v>1871920</v>
      </c>
      <c r="G37" s="71">
        <v>331726</v>
      </c>
      <c r="H37" s="71">
        <f t="shared" si="5"/>
        <v>331726</v>
      </c>
      <c r="I37" s="71">
        <v>235596</v>
      </c>
      <c r="J37" s="71">
        <v>542728</v>
      </c>
      <c r="K37" s="8"/>
      <c r="L37" s="8"/>
      <c r="M37" s="8">
        <v>6540</v>
      </c>
      <c r="N37" s="8">
        <f t="shared" si="3"/>
        <v>1116590</v>
      </c>
      <c r="O37" s="8">
        <f t="shared" si="0"/>
        <v>2988510</v>
      </c>
      <c r="P37" s="139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21041104</v>
      </c>
      <c r="E38" s="8">
        <f t="shared" si="7"/>
        <v>3453854</v>
      </c>
      <c r="F38" s="8">
        <f t="shared" si="7"/>
        <v>24494958</v>
      </c>
      <c r="G38" s="94">
        <f t="shared" si="7"/>
        <v>3278375</v>
      </c>
      <c r="H38" s="71">
        <f t="shared" si="7"/>
        <v>3278375</v>
      </c>
      <c r="I38" s="71">
        <f t="shared" si="7"/>
        <v>1258739</v>
      </c>
      <c r="J38" s="71">
        <f t="shared" si="7"/>
        <v>1489833</v>
      </c>
      <c r="K38" s="8">
        <f t="shared" si="7"/>
        <v>183823</v>
      </c>
      <c r="L38" s="8">
        <f t="shared" si="7"/>
        <v>49692</v>
      </c>
      <c r="M38" s="8">
        <f t="shared" si="7"/>
        <v>28620</v>
      </c>
      <c r="N38" s="8">
        <f t="shared" si="7"/>
        <v>6289082</v>
      </c>
      <c r="O38" s="8">
        <f t="shared" si="7"/>
        <v>30784040</v>
      </c>
      <c r="P38" s="331">
        <f>D38/O38*100</f>
        <v>68.35069081251194</v>
      </c>
      <c r="Q38" s="157"/>
      <c r="R38" s="157"/>
      <c r="S38" s="157"/>
    </row>
    <row r="39" spans="1:21" ht="14.25">
      <c r="A39" s="3" t="s">
        <v>51</v>
      </c>
      <c r="B39" s="3"/>
      <c r="C39" s="4"/>
      <c r="D39" s="140">
        <f>D38/O38*100</f>
        <v>68.35069081251194</v>
      </c>
      <c r="E39" s="140">
        <f>E38/O38*100</f>
        <v>11.219625494249618</v>
      </c>
      <c r="F39" s="140">
        <f>F38/O38*100</f>
        <v>79.57031630676155</v>
      </c>
      <c r="G39" s="140">
        <f>G38/O38*100</f>
        <v>10.649593100840566</v>
      </c>
      <c r="H39" s="140">
        <f>H38/O38*100</f>
        <v>10.649593100840566</v>
      </c>
      <c r="I39" s="140">
        <f>I38/O38*100</f>
        <v>4.088933746187959</v>
      </c>
      <c r="J39" s="140">
        <f>J38/O38*100</f>
        <v>4.839627937073886</v>
      </c>
      <c r="K39" s="140">
        <f>K38/O38*100</f>
        <v>0.5971373477945064</v>
      </c>
      <c r="L39" s="140">
        <f>L38/O38*100</f>
        <v>0.16142130792449594</v>
      </c>
      <c r="M39" s="140"/>
      <c r="N39" s="140">
        <f>N38/O38*100</f>
        <v>20.429683693238445</v>
      </c>
      <c r="O39" s="140">
        <f>O38/O38*100</f>
        <v>100</v>
      </c>
      <c r="P39" s="140"/>
      <c r="Q39" s="12"/>
      <c r="U39" s="23"/>
    </row>
    <row r="40" spans="1:17" ht="14.25">
      <c r="A40" s="102"/>
      <c r="B40" s="102"/>
      <c r="C40" s="330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41"/>
      <c r="Q40" s="12"/>
    </row>
    <row r="41" spans="1:17" ht="14.25">
      <c r="A41" s="3" t="str">
        <f>'Anne-7'!A41</f>
        <v>Conn. As on 30.11.2012</v>
      </c>
      <c r="B41" s="3"/>
      <c r="C41" s="4">
        <v>1</v>
      </c>
      <c r="D41" s="8">
        <v>21135431</v>
      </c>
      <c r="E41" s="8">
        <v>3454135</v>
      </c>
      <c r="F41" s="8">
        <v>24589566</v>
      </c>
      <c r="G41" s="8">
        <v>3277021</v>
      </c>
      <c r="H41" s="8">
        <v>3277021</v>
      </c>
      <c r="I41" s="8">
        <v>1258323</v>
      </c>
      <c r="J41" s="8">
        <v>1482748</v>
      </c>
      <c r="K41" s="8">
        <v>184781</v>
      </c>
      <c r="L41" s="8">
        <v>48692</v>
      </c>
      <c r="M41" s="8">
        <v>26280</v>
      </c>
      <c r="N41" s="8">
        <v>6277845</v>
      </c>
      <c r="O41" s="8">
        <v>30867411</v>
      </c>
      <c r="P41" s="139">
        <f>D41/O41*100</f>
        <v>68.47166741648661</v>
      </c>
      <c r="Q41" s="12"/>
    </row>
    <row r="42" spans="1:16" ht="14.25">
      <c r="A42" s="3" t="str">
        <f>'Anne-7'!A42</f>
        <v>Addition during Dec 2012</v>
      </c>
      <c r="B42" s="109"/>
      <c r="C42" s="321">
        <v>8</v>
      </c>
      <c r="D42" s="8">
        <f aca="true" t="shared" si="8" ref="D42:O42">D38-D41</f>
        <v>-94327</v>
      </c>
      <c r="E42" s="8">
        <f t="shared" si="8"/>
        <v>-281</v>
      </c>
      <c r="F42" s="8">
        <f t="shared" si="8"/>
        <v>-94608</v>
      </c>
      <c r="G42" s="8">
        <f t="shared" si="8"/>
        <v>1354</v>
      </c>
      <c r="H42" s="8">
        <f t="shared" si="8"/>
        <v>1354</v>
      </c>
      <c r="I42" s="8">
        <f t="shared" si="8"/>
        <v>416</v>
      </c>
      <c r="J42" s="8">
        <f t="shared" si="8"/>
        <v>7085</v>
      </c>
      <c r="K42" s="8">
        <f t="shared" si="8"/>
        <v>-958</v>
      </c>
      <c r="L42" s="8">
        <f t="shared" si="8"/>
        <v>1000</v>
      </c>
      <c r="M42" s="8">
        <f t="shared" si="8"/>
        <v>2340</v>
      </c>
      <c r="N42" s="8">
        <f t="shared" si="8"/>
        <v>11237</v>
      </c>
      <c r="O42" s="8">
        <f t="shared" si="8"/>
        <v>-83371</v>
      </c>
      <c r="P42" s="156" t="s">
        <v>130</v>
      </c>
    </row>
    <row r="43" spans="1:16" ht="14.25">
      <c r="A43" s="3" t="str">
        <f>'Anne-7'!A43</f>
        <v>Conn. As on 31.03.2012</v>
      </c>
      <c r="B43" s="109"/>
      <c r="C43" s="4">
        <v>1</v>
      </c>
      <c r="D43" s="8">
        <v>22467732</v>
      </c>
      <c r="E43" s="8">
        <v>3455248</v>
      </c>
      <c r="F43" s="8">
        <v>25922980</v>
      </c>
      <c r="G43" s="8">
        <v>3269949</v>
      </c>
      <c r="H43" s="8">
        <v>3269949</v>
      </c>
      <c r="I43" s="8">
        <v>1269750</v>
      </c>
      <c r="J43" s="8">
        <v>1441370</v>
      </c>
      <c r="K43" s="8">
        <v>200432</v>
      </c>
      <c r="L43" s="8">
        <v>46659</v>
      </c>
      <c r="M43" s="8">
        <v>17850</v>
      </c>
      <c r="N43" s="8">
        <f>6228160+17850</f>
        <v>6246010</v>
      </c>
      <c r="O43" s="8">
        <v>32151140</v>
      </c>
      <c r="P43" s="139">
        <f>D43/O43*100</f>
        <v>69.88160295404766</v>
      </c>
    </row>
    <row r="44" spans="1:16" ht="14.25">
      <c r="A44" s="3" t="str">
        <f>'Anne-7'!A44</f>
        <v>Addition during 2012-13</v>
      </c>
      <c r="B44" s="109"/>
      <c r="C44" s="4">
        <v>8</v>
      </c>
      <c r="D44" s="8">
        <f aca="true" t="shared" si="9" ref="D44:O44">D38-D43</f>
        <v>-1426628</v>
      </c>
      <c r="E44" s="8">
        <f t="shared" si="9"/>
        <v>-1394</v>
      </c>
      <c r="F44" s="8">
        <f t="shared" si="9"/>
        <v>-1428022</v>
      </c>
      <c r="G44" s="8">
        <f t="shared" si="9"/>
        <v>8426</v>
      </c>
      <c r="H44" s="8">
        <f t="shared" si="9"/>
        <v>8426</v>
      </c>
      <c r="I44" s="8">
        <f t="shared" si="9"/>
        <v>-11011</v>
      </c>
      <c r="J44" s="8">
        <f t="shared" si="9"/>
        <v>48463</v>
      </c>
      <c r="K44" s="8">
        <f t="shared" si="9"/>
        <v>-16609</v>
      </c>
      <c r="L44" s="8">
        <f t="shared" si="9"/>
        <v>3033</v>
      </c>
      <c r="M44" s="8">
        <f t="shared" si="9"/>
        <v>10770</v>
      </c>
      <c r="N44" s="8">
        <f t="shared" si="9"/>
        <v>43072</v>
      </c>
      <c r="O44" s="8">
        <f t="shared" si="9"/>
        <v>-1367100</v>
      </c>
      <c r="P44" s="156" t="s">
        <v>130</v>
      </c>
    </row>
    <row r="45" spans="1:16" ht="14.25">
      <c r="A45" s="427" t="s">
        <v>247</v>
      </c>
      <c r="B45" s="427"/>
      <c r="C45" s="33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6"/>
    </row>
    <row r="46" spans="1:16" ht="14.25">
      <c r="A46" s="102"/>
      <c r="B46" s="102"/>
      <c r="C46" s="33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26"/>
    </row>
    <row r="47" spans="1:16" ht="14.25">
      <c r="A47" s="102"/>
      <c r="B47" s="102"/>
      <c r="C47" s="33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26"/>
    </row>
    <row r="48" spans="1:16" ht="14.25">
      <c r="A48" s="102"/>
      <c r="B48" s="102"/>
      <c r="C48" s="330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26"/>
    </row>
    <row r="49" spans="1:16" ht="14.25">
      <c r="A49" s="102"/>
      <c r="B49" s="102"/>
      <c r="C49" s="33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26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411517</v>
      </c>
      <c r="O57" s="23">
        <f>O11+O23</f>
        <v>414544</v>
      </c>
    </row>
    <row r="59" ht="14.25">
      <c r="D59" s="23" t="e">
        <f>D44+'Anne-7'!D44+'Anne-7'!#REF!</f>
        <v>#REF!</v>
      </c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2013-01-24T06:32:27Z</cp:lastPrinted>
  <dcterms:created xsi:type="dcterms:W3CDTF">2007-06-20T11:07:42Z</dcterms:created>
  <dcterms:modified xsi:type="dcterms:W3CDTF">2013-01-31T13:35:53Z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